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grau\Desktop\"/>
    </mc:Choice>
  </mc:AlternateContent>
  <bookViews>
    <workbookView xWindow="0" yWindow="0" windowWidth="10860" windowHeight="7240" activeTab="1"/>
  </bookViews>
  <sheets>
    <sheet name="Table 5 from L&amp;E" sheetId="1" r:id="rId1"/>
    <sheet name="Comparison of Dampening Methods" sheetId="2" r:id="rId2"/>
  </sheets>
  <externalReferences>
    <externalReference r:id="rId3"/>
  </externalReferences>
  <definedNames>
    <definedName name="att_point">[1]Assumptions!$J$23</definedName>
    <definedName name="_xlnm.Print_Area" localSheetId="1">'Comparison of Dampening Methods'!$A$1:$P$106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85" i="2" l="1"/>
  <c r="B64" i="2"/>
  <c r="M52" i="2"/>
  <c r="M51" i="2"/>
  <c r="M72" i="2" s="1"/>
  <c r="M93" i="2" s="1"/>
  <c r="M50" i="2"/>
  <c r="M71" i="2" s="1"/>
  <c r="M92" i="2" s="1"/>
  <c r="M48" i="2"/>
  <c r="M47" i="2"/>
  <c r="M68" i="2" s="1"/>
  <c r="M89" i="2" s="1"/>
  <c r="M46" i="2"/>
  <c r="B43" i="2"/>
  <c r="H30" i="2"/>
  <c r="F30" i="2"/>
  <c r="F51" i="2" s="1"/>
  <c r="H29" i="2"/>
  <c r="H50" i="2" s="1"/>
  <c r="F29" i="2"/>
  <c r="F50" i="2" s="1"/>
  <c r="H26" i="2"/>
  <c r="F26" i="2"/>
  <c r="F47" i="2" s="1"/>
  <c r="H25" i="2"/>
  <c r="H46" i="2" s="1"/>
  <c r="F25" i="2"/>
  <c r="F46" i="2" s="1"/>
  <c r="L12" i="2"/>
  <c r="J12" i="2"/>
  <c r="H12" i="2"/>
  <c r="F12" i="2"/>
  <c r="G12" i="2" s="1"/>
  <c r="L11" i="2"/>
  <c r="J11" i="2"/>
  <c r="J16" i="2" s="1"/>
  <c r="H11" i="2"/>
  <c r="F11" i="2"/>
  <c r="L10" i="2"/>
  <c r="J10" i="2"/>
  <c r="H10" i="2"/>
  <c r="F10" i="2"/>
  <c r="G10" i="2" s="1"/>
  <c r="L9" i="2"/>
  <c r="J9" i="2"/>
  <c r="H9" i="2"/>
  <c r="F9" i="2"/>
  <c r="G9" i="2" s="1"/>
  <c r="L8" i="2"/>
  <c r="J8" i="2"/>
  <c r="H8" i="2"/>
  <c r="F8" i="2"/>
  <c r="G8" i="2" s="1"/>
  <c r="L7" i="2"/>
  <c r="J7" i="2"/>
  <c r="J15" i="2" s="1"/>
  <c r="H7" i="2"/>
  <c r="F7" i="2"/>
  <c r="L6" i="2"/>
  <c r="J6" i="2"/>
  <c r="H6" i="2"/>
  <c r="F6" i="2"/>
  <c r="G6" i="2" s="1"/>
  <c r="L5" i="2"/>
  <c r="L19" i="2" s="1"/>
  <c r="J5" i="2"/>
  <c r="J19" i="2" s="1"/>
  <c r="H5" i="2"/>
  <c r="F5" i="2"/>
  <c r="G5" i="2" s="1"/>
  <c r="L98" i="1"/>
  <c r="M32" i="2" s="1"/>
  <c r="J98" i="1"/>
  <c r="L32" i="2" s="1"/>
  <c r="L74" i="2" s="1"/>
  <c r="H98" i="1"/>
  <c r="J32" i="2" s="1"/>
  <c r="J53" i="2" s="1"/>
  <c r="J74" i="2" s="1"/>
  <c r="J95" i="2" s="1"/>
  <c r="L97" i="1"/>
  <c r="J97" i="1"/>
  <c r="L30" i="2" s="1"/>
  <c r="H97" i="1"/>
  <c r="J30" i="2" s="1"/>
  <c r="J51" i="2" s="1"/>
  <c r="J72" i="2" s="1"/>
  <c r="J93" i="2" s="1"/>
  <c r="L96" i="1"/>
  <c r="J96" i="1"/>
  <c r="H96" i="1"/>
  <c r="L95" i="1"/>
  <c r="J95" i="1"/>
  <c r="H95" i="1"/>
  <c r="L94" i="1"/>
  <c r="J94" i="1"/>
  <c r="H94" i="1"/>
  <c r="L93" i="1"/>
  <c r="J93" i="1"/>
  <c r="H93" i="1"/>
  <c r="L91" i="1"/>
  <c r="M28" i="2" s="1"/>
  <c r="J91" i="1"/>
  <c r="L28" i="2" s="1"/>
  <c r="H91" i="1"/>
  <c r="J28" i="2" s="1"/>
  <c r="L90" i="1"/>
  <c r="J90" i="1"/>
  <c r="L26" i="2" s="1"/>
  <c r="H90" i="1"/>
  <c r="J26" i="2" s="1"/>
  <c r="J47" i="2" s="1"/>
  <c r="J68" i="2" s="1"/>
  <c r="J89" i="2" s="1"/>
  <c r="L89" i="1"/>
  <c r="J89" i="1"/>
  <c r="H89" i="1"/>
  <c r="L88" i="1"/>
  <c r="J88" i="1"/>
  <c r="H88" i="1"/>
  <c r="L87" i="1"/>
  <c r="J87" i="1"/>
  <c r="H87" i="1"/>
  <c r="L86" i="1"/>
  <c r="J86" i="1"/>
  <c r="H86" i="1"/>
  <c r="L82" i="1"/>
  <c r="J82" i="1"/>
  <c r="H82" i="1"/>
  <c r="F81" i="1"/>
  <c r="N81" i="1" s="1"/>
  <c r="D81" i="1"/>
  <c r="B81" i="1"/>
  <c r="F80" i="1"/>
  <c r="N80" i="1" s="1"/>
  <c r="D80" i="1"/>
  <c r="B80" i="1"/>
  <c r="F79" i="1"/>
  <c r="N79" i="1" s="1"/>
  <c r="D79" i="1"/>
  <c r="B79" i="1"/>
  <c r="F78" i="1"/>
  <c r="D78" i="1"/>
  <c r="B78" i="1"/>
  <c r="F77" i="1"/>
  <c r="N77" i="1" s="1"/>
  <c r="D77" i="1"/>
  <c r="B77" i="1"/>
  <c r="F76" i="1"/>
  <c r="D76" i="1"/>
  <c r="B76" i="1"/>
  <c r="F75" i="1"/>
  <c r="N75" i="1" s="1"/>
  <c r="D75" i="1"/>
  <c r="B75" i="1"/>
  <c r="F74" i="1"/>
  <c r="N74" i="1" s="1"/>
  <c r="D74" i="1"/>
  <c r="B74" i="1"/>
  <c r="F73" i="1"/>
  <c r="N73" i="1" s="1"/>
  <c r="D73" i="1"/>
  <c r="B73" i="1"/>
  <c r="F72" i="1"/>
  <c r="D72" i="1"/>
  <c r="D97" i="1" s="1"/>
  <c r="B72" i="1"/>
  <c r="F71" i="1"/>
  <c r="N71" i="1" s="1"/>
  <c r="D71" i="1"/>
  <c r="B71" i="1"/>
  <c r="F70" i="1"/>
  <c r="D70" i="1"/>
  <c r="B70" i="1"/>
  <c r="F69" i="1"/>
  <c r="N69" i="1" s="1"/>
  <c r="D69" i="1"/>
  <c r="B69" i="1"/>
  <c r="F68" i="1"/>
  <c r="N68" i="1" s="1"/>
  <c r="D68" i="1"/>
  <c r="B68" i="1"/>
  <c r="F67" i="1"/>
  <c r="N67" i="1" s="1"/>
  <c r="D67" i="1"/>
  <c r="B67" i="1"/>
  <c r="F66" i="1"/>
  <c r="F96" i="1" s="1"/>
  <c r="N96" i="1" s="1"/>
  <c r="D66" i="1"/>
  <c r="B66" i="1"/>
  <c r="F65" i="1"/>
  <c r="N65" i="1" s="1"/>
  <c r="D65" i="1"/>
  <c r="B65" i="1"/>
  <c r="F64" i="1"/>
  <c r="D64" i="1"/>
  <c r="D89" i="1" s="1"/>
  <c r="B64" i="1"/>
  <c r="F63" i="1"/>
  <c r="N63" i="1" s="1"/>
  <c r="D63" i="1"/>
  <c r="B63" i="1"/>
  <c r="F62" i="1"/>
  <c r="N62" i="1" s="1"/>
  <c r="D62" i="1"/>
  <c r="B62" i="1"/>
  <c r="F61" i="1"/>
  <c r="N61" i="1" s="1"/>
  <c r="D61" i="1"/>
  <c r="B61" i="1"/>
  <c r="F60" i="1"/>
  <c r="D60" i="1"/>
  <c r="B60" i="1"/>
  <c r="F59" i="1"/>
  <c r="N59" i="1" s="1"/>
  <c r="D59" i="1"/>
  <c r="B59" i="1"/>
  <c r="F58" i="1"/>
  <c r="N58" i="1" s="1"/>
  <c r="D58" i="1"/>
  <c r="D88" i="1" s="1"/>
  <c r="B58" i="1"/>
  <c r="F57" i="1"/>
  <c r="N57" i="1" s="1"/>
  <c r="D57" i="1"/>
  <c r="B57" i="1"/>
  <c r="F56" i="1"/>
  <c r="N56" i="1" s="1"/>
  <c r="D56" i="1"/>
  <c r="B56" i="1"/>
  <c r="F55" i="1"/>
  <c r="N55" i="1" s="1"/>
  <c r="D55" i="1"/>
  <c r="B55" i="1"/>
  <c r="F54" i="1"/>
  <c r="D54" i="1"/>
  <c r="B54" i="1"/>
  <c r="F53" i="1"/>
  <c r="N53" i="1" s="1"/>
  <c r="D53" i="1"/>
  <c r="B53" i="1"/>
  <c r="F52" i="1"/>
  <c r="D52" i="1"/>
  <c r="B52" i="1"/>
  <c r="F51" i="1"/>
  <c r="N51" i="1" s="1"/>
  <c r="D51" i="1"/>
  <c r="B51" i="1"/>
  <c r="F50" i="1"/>
  <c r="N50" i="1" s="1"/>
  <c r="D50" i="1"/>
  <c r="B50" i="1"/>
  <c r="F49" i="1"/>
  <c r="N49" i="1" s="1"/>
  <c r="D49" i="1"/>
  <c r="B49" i="1"/>
  <c r="F48" i="1"/>
  <c r="D48" i="1"/>
  <c r="B48" i="1"/>
  <c r="F47" i="1"/>
  <c r="N47" i="1" s="1"/>
  <c r="D47" i="1"/>
  <c r="B47" i="1"/>
  <c r="F46" i="1"/>
  <c r="N46" i="1" s="1"/>
  <c r="D46" i="1"/>
  <c r="B46" i="1"/>
  <c r="L41" i="1"/>
  <c r="J41" i="1"/>
  <c r="H41" i="1"/>
  <c r="F41" i="1"/>
  <c r="D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1" i="1" l="1"/>
  <c r="F87" i="1"/>
  <c r="N87" i="1" s="1"/>
  <c r="F95" i="1"/>
  <c r="N95" i="1" s="1"/>
  <c r="F91" i="1"/>
  <c r="D96" i="1"/>
  <c r="D93" i="1"/>
  <c r="F31" i="2" s="1"/>
  <c r="F52" i="2" s="1"/>
  <c r="F93" i="1"/>
  <c r="F89" i="1"/>
  <c r="N89" i="1" s="1"/>
  <c r="F97" i="1"/>
  <c r="N97" i="1" s="1"/>
  <c r="L27" i="2"/>
  <c r="D94" i="1"/>
  <c r="D90" i="1"/>
  <c r="D98" i="1"/>
  <c r="F32" i="2" s="1"/>
  <c r="J31" i="2"/>
  <c r="J36" i="2" s="1"/>
  <c r="D86" i="1"/>
  <c r="L31" i="2"/>
  <c r="F94" i="1"/>
  <c r="N94" i="1" s="1"/>
  <c r="F90" i="1"/>
  <c r="N90" i="1" s="1"/>
  <c r="F98" i="1"/>
  <c r="D87" i="1"/>
  <c r="D95" i="1"/>
  <c r="D91" i="1"/>
  <c r="F28" i="2" s="1"/>
  <c r="F49" i="2" s="1"/>
  <c r="I5" i="2"/>
  <c r="I6" i="2"/>
  <c r="I8" i="2"/>
  <c r="I9" i="2"/>
  <c r="I10" i="2"/>
  <c r="I12" i="2"/>
  <c r="H15" i="2"/>
  <c r="I7" i="2"/>
  <c r="H16" i="2"/>
  <c r="K16" i="2" s="1"/>
  <c r="I11" i="2"/>
  <c r="K5" i="2"/>
  <c r="K8" i="2"/>
  <c r="K9" i="2"/>
  <c r="K10" i="2"/>
  <c r="N12" i="2"/>
  <c r="H19" i="2"/>
  <c r="L20" i="2"/>
  <c r="L21" i="2" s="1"/>
  <c r="K6" i="2"/>
  <c r="L16" i="2"/>
  <c r="K12" i="2"/>
  <c r="H20" i="2"/>
  <c r="K7" i="2"/>
  <c r="J20" i="2"/>
  <c r="J21" i="2" s="1"/>
  <c r="N9" i="2"/>
  <c r="K11" i="2"/>
  <c r="N6" i="2"/>
  <c r="F15" i="2"/>
  <c r="G15" i="2" s="1"/>
  <c r="L15" i="2"/>
  <c r="N10" i="2"/>
  <c r="F16" i="2"/>
  <c r="G16" i="2" s="1"/>
  <c r="N26" i="2"/>
  <c r="F27" i="2"/>
  <c r="F40" i="2"/>
  <c r="F53" i="2"/>
  <c r="F82" i="1"/>
  <c r="N82" i="1" s="1"/>
  <c r="F86" i="1"/>
  <c r="J52" i="2"/>
  <c r="L95" i="2"/>
  <c r="L53" i="2"/>
  <c r="F72" i="2"/>
  <c r="N93" i="1"/>
  <c r="H28" i="2"/>
  <c r="N91" i="1"/>
  <c r="H32" i="2"/>
  <c r="N98" i="1"/>
  <c r="J27" i="2"/>
  <c r="J25" i="2"/>
  <c r="K25" i="2" s="1"/>
  <c r="F88" i="1"/>
  <c r="N88" i="1" s="1"/>
  <c r="J49" i="2"/>
  <c r="J40" i="2"/>
  <c r="L94" i="2"/>
  <c r="L73" i="2"/>
  <c r="L78" i="2" s="1"/>
  <c r="L36" i="2"/>
  <c r="L52" i="2"/>
  <c r="L93" i="2"/>
  <c r="L72" i="2"/>
  <c r="L51" i="2"/>
  <c r="M53" i="2"/>
  <c r="M36" i="2"/>
  <c r="K15" i="2"/>
  <c r="H13" i="2"/>
  <c r="H67" i="2"/>
  <c r="H60" i="2"/>
  <c r="F71" i="2"/>
  <c r="N48" i="1"/>
  <c r="N52" i="1"/>
  <c r="N54" i="1"/>
  <c r="N60" i="1"/>
  <c r="N64" i="1"/>
  <c r="N66" i="1"/>
  <c r="N70" i="1"/>
  <c r="N72" i="1"/>
  <c r="N76" i="1"/>
  <c r="N78" i="1"/>
  <c r="L90" i="2"/>
  <c r="L69" i="2"/>
  <c r="L35" i="2"/>
  <c r="L48" i="2"/>
  <c r="L70" i="2"/>
  <c r="L91" i="2"/>
  <c r="L40" i="2"/>
  <c r="L49" i="2"/>
  <c r="J17" i="2"/>
  <c r="J13" i="2"/>
  <c r="F68" i="2"/>
  <c r="K30" i="2"/>
  <c r="D82" i="1"/>
  <c r="L89" i="2"/>
  <c r="L68" i="2"/>
  <c r="L47" i="2"/>
  <c r="M40" i="2"/>
  <c r="M41" i="2" s="1"/>
  <c r="M35" i="2"/>
  <c r="M49" i="2"/>
  <c r="M56" i="2" s="1"/>
  <c r="M33" i="2"/>
  <c r="F67" i="2"/>
  <c r="F60" i="2"/>
  <c r="H71" i="2"/>
  <c r="N5" i="2"/>
  <c r="N7" i="2"/>
  <c r="N8" i="2"/>
  <c r="N11" i="2"/>
  <c r="F19" i="2"/>
  <c r="F20" i="2"/>
  <c r="G20" i="2" s="1"/>
  <c r="N30" i="2"/>
  <c r="H47" i="2"/>
  <c r="H51" i="2"/>
  <c r="K26" i="2"/>
  <c r="J29" i="2"/>
  <c r="J50" i="2" s="1"/>
  <c r="J71" i="2" s="1"/>
  <c r="J92" i="2" s="1"/>
  <c r="F39" i="2"/>
  <c r="M69" i="2"/>
  <c r="M73" i="2"/>
  <c r="L25" i="2"/>
  <c r="G7" i="2"/>
  <c r="G11" i="2"/>
  <c r="L29" i="2"/>
  <c r="H39" i="2"/>
  <c r="M67" i="2"/>
  <c r="F36" i="2" l="1"/>
  <c r="H17" i="2"/>
  <c r="H31" i="2"/>
  <c r="M37" i="2"/>
  <c r="N15" i="2"/>
  <c r="O12" i="2"/>
  <c r="N25" i="2"/>
  <c r="I20" i="2"/>
  <c r="I16" i="2"/>
  <c r="I19" i="2"/>
  <c r="I15" i="2"/>
  <c r="L57" i="2"/>
  <c r="L17" i="2"/>
  <c r="N17" i="2" s="1"/>
  <c r="N16" i="2"/>
  <c r="L13" i="2"/>
  <c r="N13" i="2" s="1"/>
  <c r="H21" i="2"/>
  <c r="N21" i="2" s="1"/>
  <c r="K19" i="2"/>
  <c r="M74" i="2"/>
  <c r="M95" i="2" s="1"/>
  <c r="N19" i="2"/>
  <c r="K20" i="2"/>
  <c r="M54" i="2"/>
  <c r="M59" i="2" s="1"/>
  <c r="N20" i="2"/>
  <c r="F17" i="2"/>
  <c r="I17" i="2" s="1"/>
  <c r="F13" i="2"/>
  <c r="E26" i="2" s="1"/>
  <c r="K29" i="2"/>
  <c r="M57" i="2"/>
  <c r="M58" i="2" s="1"/>
  <c r="L99" i="2"/>
  <c r="L71" i="2"/>
  <c r="N71" i="2" s="1"/>
  <c r="L92" i="2"/>
  <c r="L96" i="2" s="1"/>
  <c r="L50" i="2"/>
  <c r="N50" i="2" s="1"/>
  <c r="M90" i="2"/>
  <c r="H68" i="2"/>
  <c r="K47" i="2"/>
  <c r="N47" i="2"/>
  <c r="F21" i="2"/>
  <c r="G19" i="2"/>
  <c r="G21" i="2" s="1"/>
  <c r="L82" i="2"/>
  <c r="L98" i="2"/>
  <c r="H53" i="2"/>
  <c r="K32" i="2"/>
  <c r="N32" i="2"/>
  <c r="F74" i="2"/>
  <c r="F61" i="2"/>
  <c r="F70" i="2"/>
  <c r="L67" i="2"/>
  <c r="L88" i="2"/>
  <c r="L46" i="2"/>
  <c r="L39" i="2"/>
  <c r="L41" i="2" s="1"/>
  <c r="M70" i="2"/>
  <c r="M77" i="2" s="1"/>
  <c r="M61" i="2"/>
  <c r="M62" i="2" s="1"/>
  <c r="L61" i="2"/>
  <c r="L56" i="2"/>
  <c r="F92" i="2"/>
  <c r="H88" i="2"/>
  <c r="H81" i="2"/>
  <c r="K13" i="2"/>
  <c r="J46" i="2"/>
  <c r="J39" i="2"/>
  <c r="J41" i="2" s="1"/>
  <c r="J73" i="2"/>
  <c r="J57" i="2"/>
  <c r="M88" i="2"/>
  <c r="F41" i="2"/>
  <c r="N29" i="2"/>
  <c r="K50" i="2"/>
  <c r="L37" i="2"/>
  <c r="L33" i="2"/>
  <c r="J48" i="2"/>
  <c r="J35" i="2"/>
  <c r="H40" i="2"/>
  <c r="H41" i="2" s="1"/>
  <c r="H49" i="2"/>
  <c r="K28" i="2"/>
  <c r="N28" i="2"/>
  <c r="G17" i="2"/>
  <c r="G13" i="2"/>
  <c r="H27" i="2"/>
  <c r="N86" i="1"/>
  <c r="F57" i="2"/>
  <c r="F73" i="2"/>
  <c r="M94" i="2"/>
  <c r="H72" i="2"/>
  <c r="K51" i="2"/>
  <c r="N51" i="2"/>
  <c r="H92" i="2"/>
  <c r="K71" i="2"/>
  <c r="F88" i="2"/>
  <c r="F81" i="2"/>
  <c r="F89" i="2"/>
  <c r="L103" i="2"/>
  <c r="L77" i="2"/>
  <c r="L79" i="2" s="1"/>
  <c r="K17" i="2"/>
  <c r="J61" i="2"/>
  <c r="J70" i="2"/>
  <c r="K31" i="2"/>
  <c r="H52" i="2"/>
  <c r="H36" i="2"/>
  <c r="N31" i="2"/>
  <c r="F93" i="2"/>
  <c r="F48" i="2"/>
  <c r="F35" i="2"/>
  <c r="O16" i="2" l="1"/>
  <c r="E27" i="2"/>
  <c r="M99" i="2"/>
  <c r="M78" i="2"/>
  <c r="M79" i="2" s="1"/>
  <c r="L102" i="2"/>
  <c r="I13" i="2"/>
  <c r="I21" i="2"/>
  <c r="E31" i="2"/>
  <c r="K21" i="2"/>
  <c r="E72" i="2"/>
  <c r="E32" i="2"/>
  <c r="E28" i="2"/>
  <c r="L75" i="2"/>
  <c r="N39" i="2"/>
  <c r="E49" i="2"/>
  <c r="E53" i="2"/>
  <c r="E68" i="2"/>
  <c r="E71" i="2"/>
  <c r="E67" i="2"/>
  <c r="E52" i="2"/>
  <c r="L81" i="2"/>
  <c r="L83" i="2" s="1"/>
  <c r="E25" i="2"/>
  <c r="L100" i="2"/>
  <c r="K39" i="2"/>
  <c r="O20" i="2"/>
  <c r="F62" i="2"/>
  <c r="E51" i="2"/>
  <c r="E50" i="2"/>
  <c r="E8" i="2"/>
  <c r="E30" i="2"/>
  <c r="E9" i="2"/>
  <c r="E11" i="2"/>
  <c r="E5" i="2"/>
  <c r="E12" i="2"/>
  <c r="E7" i="2"/>
  <c r="E47" i="2"/>
  <c r="E46" i="2"/>
  <c r="E6" i="2"/>
  <c r="E10" i="2"/>
  <c r="E29" i="2"/>
  <c r="K41" i="2"/>
  <c r="N41" i="2"/>
  <c r="F69" i="2"/>
  <c r="F56" i="2"/>
  <c r="E48" i="2"/>
  <c r="E93" i="2"/>
  <c r="H73" i="2"/>
  <c r="H57" i="2"/>
  <c r="K52" i="2"/>
  <c r="N52" i="2"/>
  <c r="N92" i="2"/>
  <c r="K92" i="2"/>
  <c r="E73" i="2"/>
  <c r="F94" i="2"/>
  <c r="F78" i="2"/>
  <c r="H70" i="2"/>
  <c r="H61" i="2"/>
  <c r="N49" i="2"/>
  <c r="K49" i="2"/>
  <c r="M82" i="2"/>
  <c r="M83" i="2" s="1"/>
  <c r="M91" i="2"/>
  <c r="M103" i="2" s="1"/>
  <c r="M104" i="2" s="1"/>
  <c r="L104" i="2"/>
  <c r="F91" i="2"/>
  <c r="F82" i="2"/>
  <c r="E70" i="2"/>
  <c r="F95" i="2"/>
  <c r="E74" i="2"/>
  <c r="M75" i="2"/>
  <c r="K40" i="2"/>
  <c r="N40" i="2"/>
  <c r="O40" i="2" s="1"/>
  <c r="J94" i="2"/>
  <c r="J99" i="2" s="1"/>
  <c r="J78" i="2"/>
  <c r="H102" i="2"/>
  <c r="L58" i="2"/>
  <c r="L54" i="2"/>
  <c r="H74" i="2"/>
  <c r="N53" i="2"/>
  <c r="K53" i="2"/>
  <c r="H89" i="2"/>
  <c r="K68" i="2"/>
  <c r="N68" i="2"/>
  <c r="F37" i="2"/>
  <c r="F33" i="2"/>
  <c r="J82" i="2"/>
  <c r="J91" i="2"/>
  <c r="J103" i="2" s="1"/>
  <c r="E89" i="2"/>
  <c r="J37" i="2"/>
  <c r="J33" i="2"/>
  <c r="E92" i="2"/>
  <c r="K36" i="2"/>
  <c r="N36" i="2"/>
  <c r="E88" i="2"/>
  <c r="F102" i="2"/>
  <c r="H93" i="2"/>
  <c r="K72" i="2"/>
  <c r="N72" i="2"/>
  <c r="H35" i="2"/>
  <c r="N27" i="2"/>
  <c r="O32" i="2" s="1"/>
  <c r="H48" i="2"/>
  <c r="K27" i="2"/>
  <c r="J69" i="2"/>
  <c r="J56" i="2"/>
  <c r="J67" i="2"/>
  <c r="J60" i="2"/>
  <c r="K46" i="2"/>
  <c r="L60" i="2"/>
  <c r="N46" i="2"/>
  <c r="E57" i="2" l="1"/>
  <c r="E58" i="2" s="1"/>
  <c r="E35" i="2"/>
  <c r="M96" i="2"/>
  <c r="M98" i="2"/>
  <c r="M100" i="2" s="1"/>
  <c r="E39" i="2"/>
  <c r="E40" i="2"/>
  <c r="E36" i="2"/>
  <c r="E37" i="2" s="1"/>
  <c r="E60" i="2"/>
  <c r="E19" i="2"/>
  <c r="E56" i="2"/>
  <c r="E81" i="2"/>
  <c r="E41" i="2"/>
  <c r="E61" i="2"/>
  <c r="E20" i="2"/>
  <c r="E16" i="2"/>
  <c r="F83" i="2"/>
  <c r="E15" i="2"/>
  <c r="L62" i="2"/>
  <c r="N60" i="2"/>
  <c r="J58" i="2"/>
  <c r="J54" i="2"/>
  <c r="K93" i="2"/>
  <c r="N93" i="2"/>
  <c r="H82" i="2"/>
  <c r="H91" i="2"/>
  <c r="K70" i="2"/>
  <c r="N70" i="2"/>
  <c r="E78" i="2"/>
  <c r="F58" i="2"/>
  <c r="F54" i="2"/>
  <c r="J77" i="2"/>
  <c r="J79" i="2" s="1"/>
  <c r="J75" i="2"/>
  <c r="J90" i="2"/>
  <c r="H37" i="2"/>
  <c r="H33" i="2"/>
  <c r="K35" i="2"/>
  <c r="N35" i="2"/>
  <c r="O36" i="2" s="1"/>
  <c r="E69" i="2"/>
  <c r="E77" i="2" s="1"/>
  <c r="F90" i="2"/>
  <c r="F77" i="2"/>
  <c r="H95" i="2"/>
  <c r="K74" i="2"/>
  <c r="N74" i="2"/>
  <c r="E95" i="2"/>
  <c r="F103" i="2"/>
  <c r="E91" i="2"/>
  <c r="K57" i="2"/>
  <c r="N57" i="2"/>
  <c r="J62" i="2"/>
  <c r="K60" i="2"/>
  <c r="J88" i="2"/>
  <c r="J81" i="2"/>
  <c r="K67" i="2"/>
  <c r="N67" i="2"/>
  <c r="H69" i="2"/>
  <c r="H56" i="2"/>
  <c r="K48" i="2"/>
  <c r="N48" i="2"/>
  <c r="O53" i="2" s="1"/>
  <c r="E102" i="2"/>
  <c r="K89" i="2"/>
  <c r="N89" i="2"/>
  <c r="E82" i="2"/>
  <c r="K61" i="2"/>
  <c r="N61" i="2"/>
  <c r="H62" i="2"/>
  <c r="F99" i="2"/>
  <c r="E94" i="2"/>
  <c r="H78" i="2"/>
  <c r="N73" i="2"/>
  <c r="H94" i="2"/>
  <c r="K73" i="2"/>
  <c r="E33" i="2" l="1"/>
  <c r="E54" i="2"/>
  <c r="E62" i="2"/>
  <c r="E21" i="2"/>
  <c r="O61" i="2"/>
  <c r="E83" i="2"/>
  <c r="E17" i="2"/>
  <c r="E13" i="2"/>
  <c r="E103" i="2"/>
  <c r="E104" i="2" s="1"/>
  <c r="E99" i="2"/>
  <c r="K94" i="2"/>
  <c r="H99" i="2"/>
  <c r="N94" i="2"/>
  <c r="F79" i="2"/>
  <c r="F75" i="2"/>
  <c r="N33" i="2"/>
  <c r="K33" i="2"/>
  <c r="N82" i="2"/>
  <c r="K82" i="2"/>
  <c r="H83" i="2"/>
  <c r="N37" i="2"/>
  <c r="K37" i="2"/>
  <c r="K78" i="2"/>
  <c r="N78" i="2"/>
  <c r="N62" i="2"/>
  <c r="K62" i="2"/>
  <c r="H58" i="2"/>
  <c r="H54" i="2"/>
  <c r="N56" i="2"/>
  <c r="O57" i="2" s="1"/>
  <c r="K56" i="2"/>
  <c r="J83" i="2"/>
  <c r="K81" i="2"/>
  <c r="N81" i="2"/>
  <c r="F104" i="2"/>
  <c r="F98" i="2"/>
  <c r="E90" i="2"/>
  <c r="E98" i="2" s="1"/>
  <c r="J98" i="2"/>
  <c r="J100" i="2" s="1"/>
  <c r="J96" i="2"/>
  <c r="N69" i="2"/>
  <c r="O74" i="2" s="1"/>
  <c r="H77" i="2"/>
  <c r="H90" i="2"/>
  <c r="K69" i="2"/>
  <c r="J102" i="2"/>
  <c r="K88" i="2"/>
  <c r="N88" i="2"/>
  <c r="K95" i="2"/>
  <c r="N95" i="2"/>
  <c r="E79" i="2"/>
  <c r="E75" i="2"/>
  <c r="K91" i="2"/>
  <c r="N91" i="2"/>
  <c r="H103" i="2"/>
  <c r="K103" i="2" l="1"/>
  <c r="N103" i="2"/>
  <c r="H104" i="2"/>
  <c r="K90" i="2"/>
  <c r="N90" i="2"/>
  <c r="H98" i="2"/>
  <c r="K54" i="2"/>
  <c r="N54" i="2"/>
  <c r="N77" i="2"/>
  <c r="O78" i="2" s="1"/>
  <c r="H79" i="2"/>
  <c r="H75" i="2"/>
  <c r="K77" i="2"/>
  <c r="K58" i="2"/>
  <c r="N58" i="2"/>
  <c r="K83" i="2"/>
  <c r="N83" i="2"/>
  <c r="O95" i="2"/>
  <c r="J104" i="2"/>
  <c r="K102" i="2"/>
  <c r="N102" i="2"/>
  <c r="E100" i="2"/>
  <c r="E96" i="2"/>
  <c r="K99" i="2"/>
  <c r="N99" i="2"/>
  <c r="F100" i="2"/>
  <c r="F96" i="2"/>
  <c r="O82" i="2"/>
  <c r="O103" i="2" l="1"/>
  <c r="K75" i="2"/>
  <c r="N75" i="2"/>
  <c r="K79" i="2"/>
  <c r="N79" i="2"/>
  <c r="N104" i="2"/>
  <c r="K104" i="2"/>
  <c r="H100" i="2"/>
  <c r="H96" i="2"/>
  <c r="K98" i="2"/>
  <c r="N98" i="2"/>
  <c r="O99" i="2" s="1"/>
  <c r="K96" i="2" l="1"/>
  <c r="N96" i="2"/>
  <c r="K100" i="2"/>
  <c r="N100" i="2"/>
</calcChain>
</file>

<file path=xl/sharedStrings.xml><?xml version="1.0" encoding="utf-8"?>
<sst xmlns="http://schemas.openxmlformats.org/spreadsheetml/2006/main" count="263" uniqueCount="97">
  <si>
    <t>1) Undampened Risk-Adjustment, with no Reinsurance</t>
  </si>
  <si>
    <t>Total</t>
  </si>
  <si>
    <t>Loss</t>
  </si>
  <si>
    <t>Cohort</t>
  </si>
  <si>
    <t>Member Months</t>
  </si>
  <si>
    <t>Claims</t>
  </si>
  <si>
    <t>Premium</t>
  </si>
  <si>
    <t>RA</t>
  </si>
  <si>
    <t>RI</t>
  </si>
  <si>
    <t>Ratio</t>
  </si>
  <si>
    <t>No claims incurred, RS 0-0.5</t>
  </si>
  <si>
    <t>No claims incurred, RS 0.5-1.5</t>
  </si>
  <si>
    <t>No claims incurred, RS 1.5-2.5</t>
  </si>
  <si>
    <t>No claims incurred, RS 2.5-3.5</t>
  </si>
  <si>
    <t>No claims incurred, RS 3.5-4.5</t>
  </si>
  <si>
    <t>No claims incurred, RS 4.5+</t>
  </si>
  <si>
    <t>Claims between 0.01 and 490, RS 0-0.5</t>
  </si>
  <si>
    <t>Claims between 0.01 and 490, RS 0.5-1.5</t>
  </si>
  <si>
    <t>Claims between 0.01 and 490, RS 1.5-2.5</t>
  </si>
  <si>
    <t>Claims between 0.01 and 490, RS 2.5-3.5</t>
  </si>
  <si>
    <t>Claims between 0.01 and 490, RS 3.5-4.5</t>
  </si>
  <si>
    <t>Claims between 0.01 and 490, RS 4.5+</t>
  </si>
  <si>
    <t>Claims between 490 and 1,400, RS 0-0.5</t>
  </si>
  <si>
    <t>Claims between 490 and 1,400, RS 0.5-1.5</t>
  </si>
  <si>
    <t>Claims between 490 and 1,400, RS 1.5-2.5</t>
  </si>
  <si>
    <t>Claims between 490 and 1,400, RS 2.5-3.5</t>
  </si>
  <si>
    <t>Claims between 490 and 1,400, RS 3.5-4.5</t>
  </si>
  <si>
    <t>Claims between 490 and 1,400, RS 4.5+</t>
  </si>
  <si>
    <t>Claims between 1,400 and 2,900, RS 0-0.5</t>
  </si>
  <si>
    <t>Claims between 1,400 and 2,900, RS 0.5-1.5</t>
  </si>
  <si>
    <t>Claims between 1,400 and 2,900, RS 1.5-2.5</t>
  </si>
  <si>
    <t>Claims between 1,400 and 2,900, RS 2.5-3.5</t>
  </si>
  <si>
    <t>Claims between 1,400 and 2,900, RS 3.5-4.5</t>
  </si>
  <si>
    <t>Claims between 1,400 and 2,900, RS 4.5+</t>
  </si>
  <si>
    <t>Claims between 2,900 and 20,000, RS 0-0.5</t>
  </si>
  <si>
    <t>Claims between 2,900 and 20,000, RS 0.5-1.5</t>
  </si>
  <si>
    <t>Claims between 2,900 and 20,000, RS 1.5-2.5</t>
  </si>
  <si>
    <t>Claims between 2,900 and 20,000, RS 2.5-3.5</t>
  </si>
  <si>
    <t>Claims between 2,900 and 20,000, RS 3.5-4.5</t>
  </si>
  <si>
    <t>Claims between 2,900 and 20,000, RS 4.5+</t>
  </si>
  <si>
    <t>Claims &gt;= 20,000, RS 0-0.5</t>
  </si>
  <si>
    <t>Claims &gt;= 20,000, RS 0.5-1.5</t>
  </si>
  <si>
    <t>Claims &gt;= 20,000, RS 1.5-2.5</t>
  </si>
  <si>
    <t>Claims &gt;= 20,000, RS 2.5-3.5</t>
  </si>
  <si>
    <t>Claims &gt;= 20,000, RS 3.5-4.5</t>
  </si>
  <si>
    <t>Claims &gt;= 20,000, RS 4.5+</t>
  </si>
  <si>
    <t>2) Undampened Risk-Adjustment, with Reinsurance</t>
  </si>
  <si>
    <t>No claims incurred, Payer</t>
  </si>
  <si>
    <t>Claims between 0.01 and 368, Payer</t>
  </si>
  <si>
    <t>Claims between 368 and 1,016, Payer</t>
  </si>
  <si>
    <t>Claims between 1,016 and 2,634, Payer</t>
  </si>
  <si>
    <t>Claims between 2,634 and 20,000, Payer</t>
  </si>
  <si>
    <t>Claims &gt;= 20,000, Payer</t>
  </si>
  <si>
    <t>No claims incurred, Receiver</t>
  </si>
  <si>
    <t>Claims between 0.01 and 368, Receiver</t>
  </si>
  <si>
    <t>Claims between 368 and 1,016, Receiver</t>
  </si>
  <si>
    <t>Claims between 1,016 and 2,634, Receiver</t>
  </si>
  <si>
    <t>Claims between 2,634 and 20,000, Receiver</t>
  </si>
  <si>
    <t>Claims &gt;= 20,000, Receiver</t>
  </si>
  <si>
    <t>1) Undampened Risk Adjustment, No Reinsurance</t>
  </si>
  <si>
    <t>Average</t>
  </si>
  <si>
    <t>Raw</t>
  </si>
  <si>
    <t>Adjusted</t>
  </si>
  <si>
    <t>% Members</t>
  </si>
  <si>
    <t>Members</t>
  </si>
  <si>
    <t>Loss Ratio</t>
  </si>
  <si>
    <t>RA Transfer</t>
  </si>
  <si>
    <t xml:space="preserve">      Cohort 1a (PLRS &gt; 1.5, Claims &lt;$2,900)</t>
  </si>
  <si>
    <t xml:space="preserve">      Cohort 1b (PLRS &lt;1.5, Claims $2,900 - $20k)</t>
  </si>
  <si>
    <t>Cohort 1 (RA Payer, No Reins)</t>
  </si>
  <si>
    <t>No Reinsurance, RA Payer</t>
  </si>
  <si>
    <t>Cohort 2 (RA Payer, Reins Receiver)</t>
  </si>
  <si>
    <t>Reinsurance, RA Payer</t>
  </si>
  <si>
    <t xml:space="preserve">     Cohort 3a (PLRS&gt;1.5, Claims &lt; $2,900)</t>
  </si>
  <si>
    <t xml:space="preserve">     Cohort 3b (PLRS &gt;1.5, Claims $2,900 - $20k)</t>
  </si>
  <si>
    <t>(Cohort 4 vs 1)</t>
  </si>
  <si>
    <t>Cohort 3  (RA Receiver, No Reins)</t>
  </si>
  <si>
    <t>No Reinsurance, RA receiver</t>
  </si>
  <si>
    <t>Δ</t>
  </si>
  <si>
    <t>Cohort 4 (RA Receiver, Reins Receiver)</t>
  </si>
  <si>
    <t>Reinsurance, RA Receiver</t>
  </si>
  <si>
    <t>TOTAL</t>
  </si>
  <si>
    <t>RA Payers</t>
  </si>
  <si>
    <t xml:space="preserve">        RA Payer Total</t>
  </si>
  <si>
    <t>RA Receivers</t>
  </si>
  <si>
    <t xml:space="preserve">       RA Receiver Total</t>
  </si>
  <si>
    <t>Low Claims (&lt;$2,900)</t>
  </si>
  <si>
    <t>Claims cost as predicted</t>
  </si>
  <si>
    <t>High Claims (&gt;$2,900)</t>
  </si>
  <si>
    <t>Claims cost not as predicted</t>
  </si>
  <si>
    <t>2)  Undampened Risk Adjustment, With Reinsurance</t>
  </si>
  <si>
    <t>Reinsurance</t>
  </si>
  <si>
    <t>Reins.</t>
  </si>
  <si>
    <t>Claims PMPM</t>
  </si>
  <si>
    <t>Solve to normalize the loss ratio difference for Low Claimants and High Claimants back to the original 48.0%</t>
  </si>
  <si>
    <t>Solve to normalize the loss ratio difference for RA Payers and RA Receivers back to the original -63.4%</t>
  </si>
  <si>
    <t>Solve to normalize the difference in loss ratios for Cohort 1 and Cohort 4 to be 0.0%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</si>
</sst>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\+0.0%;\-0.0%;\-"/>
    <numFmt numFmtId="166" formatCode="0.0%"/>
    <numFmt numFmtId="167" formatCode="#,##0.0000_);[Red]\(#,##0.0000\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theme="1"/>
      <name val="Times New Roman"/>
      <family val="1"/>
    </font>
    <font>
      <b/>
      <u/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2">
    <xf numFmtId="0" fontId="0" fillId="0" borderId="0" xfId="0"/>
    <xf numFmtId="0" fontId="3" fillId="0" borderId="0" xfId="0" applyFont="1"/>
    <xf numFmtId="0" fontId="4" fillId="0" borderId="0" xfId="0" applyFont="1"/>
    <xf numFmtId="164" fontId="4" fillId="0" borderId="0" xfId="1" applyNumberFormat="1" applyFont="1"/>
    <xf numFmtId="6" fontId="4" fillId="0" borderId="0" xfId="0" applyNumberFormat="1" applyFont="1"/>
    <xf numFmtId="0" fontId="2" fillId="0" borderId="0" xfId="0" applyFont="1"/>
    <xf numFmtId="164" fontId="2" fillId="0" borderId="0" xfId="1" applyNumberFormat="1" applyFont="1"/>
    <xf numFmtId="0" fontId="2" fillId="0" borderId="2" xfId="0" applyFont="1" applyBorder="1"/>
    <xf numFmtId="164" fontId="2" fillId="0" borderId="2" xfId="1" applyNumberFormat="1" applyFont="1" applyBorder="1"/>
    <xf numFmtId="9" fontId="0" fillId="0" borderId="0" xfId="0" applyNumberFormat="1" applyFill="1" applyAlignment="1">
      <alignment horizontal="left"/>
    </xf>
    <xf numFmtId="164" fontId="0" fillId="0" borderId="0" xfId="1" applyNumberFormat="1" applyFont="1"/>
    <xf numFmtId="6" fontId="0" fillId="0" borderId="0" xfId="0" applyNumberFormat="1"/>
    <xf numFmtId="165" fontId="0" fillId="0" borderId="0" xfId="0" applyNumberFormat="1"/>
    <xf numFmtId="0" fontId="0" fillId="0" borderId="0" xfId="0" applyFill="1"/>
    <xf numFmtId="0" fontId="0" fillId="0" borderId="0" xfId="0" applyBorder="1"/>
    <xf numFmtId="165" fontId="0" fillId="0" borderId="0" xfId="0" applyNumberFormat="1" applyBorder="1"/>
    <xf numFmtId="0" fontId="2" fillId="2" borderId="0" xfId="0" applyFont="1" applyFill="1"/>
    <xf numFmtId="0" fontId="0" fillId="2" borderId="0" xfId="0" applyFill="1"/>
    <xf numFmtId="0" fontId="0" fillId="2" borderId="0" xfId="0" applyFill="1" applyAlignment="1">
      <alignment horizontal="right"/>
    </xf>
    <xf numFmtId="0" fontId="0" fillId="2" borderId="4" xfId="0" applyFill="1" applyBorder="1" applyAlignment="1">
      <alignment horizontal="right"/>
    </xf>
    <xf numFmtId="0" fontId="0" fillId="0" borderId="0" xfId="0" applyAlignment="1">
      <alignment horizontal="right"/>
    </xf>
    <xf numFmtId="164" fontId="0" fillId="2" borderId="0" xfId="1" applyNumberFormat="1" applyFont="1" applyFill="1" applyAlignment="1">
      <alignment horizontal="right"/>
    </xf>
    <xf numFmtId="164" fontId="0" fillId="2" borderId="4" xfId="1" applyNumberFormat="1" applyFont="1" applyFill="1" applyBorder="1" applyAlignment="1">
      <alignment horizontal="right"/>
    </xf>
    <xf numFmtId="6" fontId="0" fillId="2" borderId="0" xfId="0" applyNumberFormat="1" applyFill="1" applyAlignment="1">
      <alignment horizontal="right"/>
    </xf>
    <xf numFmtId="6" fontId="0" fillId="2" borderId="4" xfId="0" applyNumberFormat="1" applyFill="1" applyBorder="1" applyAlignment="1">
      <alignment horizontal="right"/>
    </xf>
    <xf numFmtId="0" fontId="5" fillId="2" borderId="0" xfId="0" applyFont="1" applyFill="1" applyAlignment="1">
      <alignment horizontal="right"/>
    </xf>
    <xf numFmtId="164" fontId="5" fillId="2" borderId="4" xfId="1" applyNumberFormat="1" applyFont="1" applyFill="1" applyBorder="1" applyAlignment="1">
      <alignment horizontal="right"/>
    </xf>
    <xf numFmtId="6" fontId="5" fillId="2" borderId="0" xfId="0" applyNumberFormat="1" applyFont="1" applyFill="1" applyAlignment="1">
      <alignment horizontal="right"/>
    </xf>
    <xf numFmtId="6" fontId="5" fillId="2" borderId="4" xfId="0" applyNumberFormat="1" applyFont="1" applyFill="1" applyBorder="1" applyAlignment="1">
      <alignment horizontal="right"/>
    </xf>
    <xf numFmtId="6" fontId="5" fillId="2" borderId="0" xfId="0" applyNumberFormat="1" applyFont="1" applyFill="1" applyAlignment="1">
      <alignment horizontal="center"/>
    </xf>
    <xf numFmtId="166" fontId="0" fillId="2" borderId="0" xfId="3" applyNumberFormat="1" applyFont="1" applyFill="1" applyAlignment="1">
      <alignment horizontal="right"/>
    </xf>
    <xf numFmtId="38" fontId="0" fillId="2" borderId="4" xfId="1" applyNumberFormat="1" applyFont="1" applyFill="1" applyBorder="1" applyAlignment="1">
      <alignment horizontal="right"/>
    </xf>
    <xf numFmtId="6" fontId="0" fillId="2" borderId="0" xfId="2" applyNumberFormat="1" applyFont="1" applyFill="1" applyAlignment="1">
      <alignment horizontal="right"/>
    </xf>
    <xf numFmtId="9" fontId="0" fillId="2" borderId="4" xfId="2" applyNumberFormat="1" applyFont="1" applyFill="1" applyBorder="1" applyAlignment="1">
      <alignment horizontal="right"/>
    </xf>
    <xf numFmtId="9" fontId="0" fillId="2" borderId="0" xfId="0" applyNumberFormat="1" applyFont="1" applyFill="1" applyAlignment="1">
      <alignment horizontal="right"/>
    </xf>
    <xf numFmtId="0" fontId="2" fillId="2" borderId="0" xfId="0" applyFont="1" applyFill="1" applyAlignment="1">
      <alignment horizontal="right"/>
    </xf>
    <xf numFmtId="166" fontId="2" fillId="2" borderId="0" xfId="3" applyNumberFormat="1" applyFont="1" applyFill="1" applyAlignment="1">
      <alignment horizontal="right"/>
    </xf>
    <xf numFmtId="164" fontId="2" fillId="2" borderId="4" xfId="1" applyNumberFormat="1" applyFont="1" applyFill="1" applyBorder="1" applyAlignment="1">
      <alignment horizontal="right"/>
    </xf>
    <xf numFmtId="6" fontId="2" fillId="2" borderId="0" xfId="2" applyNumberFormat="1" applyFont="1" applyFill="1" applyAlignment="1">
      <alignment horizontal="right"/>
    </xf>
    <xf numFmtId="6" fontId="2" fillId="2" borderId="0" xfId="1" applyNumberFormat="1" applyFont="1" applyFill="1" applyAlignment="1">
      <alignment horizontal="right"/>
    </xf>
    <xf numFmtId="9" fontId="2" fillId="2" borderId="0" xfId="0" applyNumberFormat="1" applyFont="1" applyFill="1" applyAlignment="1">
      <alignment horizontal="right"/>
    </xf>
    <xf numFmtId="9" fontId="0" fillId="2" borderId="0" xfId="0" applyNumberFormat="1" applyFill="1" applyAlignment="1">
      <alignment horizontal="right"/>
    </xf>
    <xf numFmtId="6" fontId="1" fillId="2" borderId="0" xfId="2" applyNumberFormat="1" applyFont="1" applyFill="1" applyAlignment="1">
      <alignment horizontal="right"/>
    </xf>
    <xf numFmtId="6" fontId="0" fillId="2" borderId="0" xfId="1" applyNumberFormat="1" applyFont="1" applyFill="1" applyAlignment="1">
      <alignment horizontal="right"/>
    </xf>
    <xf numFmtId="0" fontId="6" fillId="2" borderId="0" xfId="0" applyFont="1" applyFill="1" applyAlignment="1">
      <alignment horizontal="right"/>
    </xf>
    <xf numFmtId="9" fontId="0" fillId="2" borderId="5" xfId="2" applyNumberFormat="1" applyFont="1" applyFill="1" applyBorder="1" applyAlignment="1">
      <alignment horizontal="right"/>
    </xf>
    <xf numFmtId="166" fontId="0" fillId="2" borderId="2" xfId="0" applyNumberFormat="1" applyFill="1" applyBorder="1" applyAlignment="1">
      <alignment horizontal="right"/>
    </xf>
    <xf numFmtId="0" fontId="0" fillId="0" borderId="0" xfId="0" applyBorder="1" applyAlignment="1">
      <alignment horizontal="right"/>
    </xf>
    <xf numFmtId="0" fontId="2" fillId="2" borderId="3" xfId="0" applyFont="1" applyFill="1" applyBorder="1"/>
    <xf numFmtId="0" fontId="2" fillId="2" borderId="3" xfId="0" applyFont="1" applyFill="1" applyBorder="1" applyAlignment="1">
      <alignment horizontal="right"/>
    </xf>
    <xf numFmtId="166" fontId="2" fillId="2" borderId="3" xfId="3" applyNumberFormat="1" applyFont="1" applyFill="1" applyBorder="1" applyAlignment="1">
      <alignment horizontal="right"/>
    </xf>
    <xf numFmtId="164" fontId="2" fillId="2" borderId="6" xfId="1" applyNumberFormat="1" applyFont="1" applyFill="1" applyBorder="1" applyAlignment="1">
      <alignment horizontal="right"/>
    </xf>
    <xf numFmtId="6" fontId="2" fillId="2" borderId="3" xfId="1" applyNumberFormat="1" applyFont="1" applyFill="1" applyBorder="1" applyAlignment="1">
      <alignment horizontal="right"/>
    </xf>
    <xf numFmtId="6" fontId="2" fillId="2" borderId="3" xfId="2" applyNumberFormat="1" applyFont="1" applyFill="1" applyBorder="1" applyAlignment="1">
      <alignment horizontal="right"/>
    </xf>
    <xf numFmtId="9" fontId="2" fillId="2" borderId="4" xfId="2" applyNumberFormat="1" applyFont="1" applyFill="1" applyBorder="1" applyAlignment="1">
      <alignment horizontal="right"/>
    </xf>
    <xf numFmtId="6" fontId="2" fillId="2" borderId="3" xfId="0" applyNumberFormat="1" applyFont="1" applyFill="1" applyBorder="1" applyAlignment="1">
      <alignment horizontal="right"/>
    </xf>
    <xf numFmtId="9" fontId="2" fillId="2" borderId="3" xfId="0" applyNumberFormat="1" applyFont="1" applyFill="1" applyBorder="1" applyAlignment="1">
      <alignment horizontal="right"/>
    </xf>
    <xf numFmtId="9" fontId="2" fillId="2" borderId="0" xfId="0" applyNumberFormat="1" applyFont="1" applyFill="1" applyBorder="1" applyAlignment="1">
      <alignment horizontal="right"/>
    </xf>
    <xf numFmtId="167" fontId="0" fillId="2" borderId="4" xfId="1" applyNumberFormat="1" applyFont="1" applyFill="1" applyBorder="1" applyAlignment="1">
      <alignment horizontal="right"/>
    </xf>
    <xf numFmtId="0" fontId="0" fillId="2" borderId="0" xfId="0" applyFont="1" applyFill="1"/>
    <xf numFmtId="0" fontId="0" fillId="2" borderId="0" xfId="0" applyFont="1" applyFill="1" applyAlignment="1">
      <alignment horizontal="right"/>
    </xf>
    <xf numFmtId="166" fontId="1" fillId="2" borderId="0" xfId="3" applyNumberFormat="1" applyFont="1" applyFill="1" applyAlignment="1">
      <alignment horizontal="right"/>
    </xf>
    <xf numFmtId="164" fontId="1" fillId="2" borderId="4" xfId="1" applyNumberFormat="1" applyFont="1" applyFill="1" applyBorder="1" applyAlignment="1">
      <alignment horizontal="right"/>
    </xf>
    <xf numFmtId="38" fontId="1" fillId="2" borderId="4" xfId="1" applyNumberFormat="1" applyFont="1" applyFill="1" applyBorder="1" applyAlignment="1">
      <alignment horizontal="right"/>
    </xf>
    <xf numFmtId="6" fontId="1" fillId="2" borderId="0" xfId="1" applyNumberFormat="1" applyFont="1" applyFill="1" applyAlignment="1">
      <alignment horizontal="right"/>
    </xf>
    <xf numFmtId="0" fontId="0" fillId="2" borderId="2" xfId="0" applyFont="1" applyFill="1" applyBorder="1"/>
    <xf numFmtId="0" fontId="0" fillId="2" borderId="2" xfId="0" applyFont="1" applyFill="1" applyBorder="1" applyAlignment="1">
      <alignment horizontal="right"/>
    </xf>
    <xf numFmtId="166" fontId="1" fillId="2" borderId="2" xfId="3" applyNumberFormat="1" applyFont="1" applyFill="1" applyBorder="1" applyAlignment="1">
      <alignment horizontal="right"/>
    </xf>
    <xf numFmtId="164" fontId="1" fillId="2" borderId="5" xfId="1" applyNumberFormat="1" applyFont="1" applyFill="1" applyBorder="1" applyAlignment="1">
      <alignment horizontal="right"/>
    </xf>
    <xf numFmtId="38" fontId="1" fillId="2" borderId="5" xfId="1" applyNumberFormat="1" applyFont="1" applyFill="1" applyBorder="1" applyAlignment="1">
      <alignment horizontal="right"/>
    </xf>
    <xf numFmtId="6" fontId="1" fillId="2" borderId="2" xfId="2" applyNumberFormat="1" applyFont="1" applyFill="1" applyBorder="1" applyAlignment="1">
      <alignment horizontal="right"/>
    </xf>
    <xf numFmtId="6" fontId="1" fillId="2" borderId="2" xfId="1" applyNumberFormat="1" applyFont="1" applyFill="1" applyBorder="1" applyAlignment="1">
      <alignment horizontal="right"/>
    </xf>
    <xf numFmtId="9" fontId="0" fillId="2" borderId="2" xfId="0" applyNumberFormat="1" applyFont="1" applyFill="1" applyBorder="1" applyAlignment="1">
      <alignment horizontal="right"/>
    </xf>
    <xf numFmtId="38" fontId="2" fillId="2" borderId="4" xfId="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right"/>
    </xf>
    <xf numFmtId="166" fontId="0" fillId="2" borderId="2" xfId="3" applyNumberFormat="1" applyFont="1" applyFill="1" applyBorder="1" applyAlignment="1">
      <alignment horizontal="right"/>
    </xf>
    <xf numFmtId="164" fontId="0" fillId="2" borderId="5" xfId="1" applyNumberFormat="1" applyFont="1" applyFill="1" applyBorder="1" applyAlignment="1">
      <alignment horizontal="right"/>
    </xf>
    <xf numFmtId="38" fontId="0" fillId="2" borderId="5" xfId="1" applyNumberFormat="1" applyFont="1" applyFill="1" applyBorder="1" applyAlignment="1">
      <alignment horizontal="right"/>
    </xf>
    <xf numFmtId="6" fontId="0" fillId="2" borderId="2" xfId="2" applyNumberFormat="1" applyFont="1" applyFill="1" applyBorder="1" applyAlignment="1">
      <alignment horizontal="right"/>
    </xf>
    <xf numFmtId="6" fontId="0" fillId="2" borderId="2" xfId="0" applyNumberFormat="1" applyFill="1" applyBorder="1" applyAlignment="1">
      <alignment horizontal="right"/>
    </xf>
    <xf numFmtId="9" fontId="0" fillId="2" borderId="2" xfId="0" applyNumberFormat="1" applyFill="1" applyBorder="1" applyAlignment="1">
      <alignment horizontal="right"/>
    </xf>
    <xf numFmtId="166" fontId="0" fillId="2" borderId="0" xfId="2" applyNumberFormat="1" applyFont="1" applyFill="1" applyAlignment="1">
      <alignment horizontal="right"/>
    </xf>
    <xf numFmtId="38" fontId="5" fillId="2" borderId="4" xfId="1" applyNumberFormat="1" applyFont="1" applyFill="1" applyBorder="1" applyAlignment="1">
      <alignment horizontal="right"/>
    </xf>
    <xf numFmtId="6" fontId="2" fillId="2" borderId="0" xfId="0" applyNumberFormat="1" applyFont="1" applyFill="1" applyAlignment="1">
      <alignment horizontal="right"/>
    </xf>
    <xf numFmtId="9" fontId="0" fillId="0" borderId="0" xfId="0" applyNumberFormat="1" applyAlignment="1">
      <alignment horizontal="right"/>
    </xf>
    <xf numFmtId="166" fontId="0" fillId="2" borderId="2" xfId="0" applyNumberFormat="1" applyFont="1" applyFill="1" applyBorder="1" applyAlignment="1">
      <alignment horizontal="right"/>
    </xf>
    <xf numFmtId="0" fontId="0" fillId="2" borderId="3" xfId="0" applyFont="1" applyFill="1" applyBorder="1" applyAlignment="1">
      <alignment horizontal="right"/>
    </xf>
    <xf numFmtId="6" fontId="2" fillId="2" borderId="0" xfId="1" applyNumberFormat="1" applyFont="1" applyFill="1" applyBorder="1" applyAlignment="1">
      <alignment horizontal="right"/>
    </xf>
    <xf numFmtId="38" fontId="0" fillId="2" borderId="4" xfId="0" applyNumberFormat="1" applyFill="1" applyBorder="1" applyAlignment="1">
      <alignment horizontal="right"/>
    </xf>
    <xf numFmtId="9" fontId="0" fillId="0" borderId="0" xfId="0" applyNumberFormat="1" applyBorder="1" applyAlignment="1">
      <alignment horizontal="right"/>
    </xf>
    <xf numFmtId="38" fontId="2" fillId="2" borderId="6" xfId="1" applyNumberFormat="1" applyFont="1" applyFill="1" applyBorder="1" applyAlignment="1">
      <alignment horizontal="right"/>
    </xf>
    <xf numFmtId="0" fontId="7" fillId="2" borderId="7" xfId="0" applyFont="1" applyFill="1" applyBorder="1" applyAlignment="1">
      <alignment horizontal="right"/>
    </xf>
    <xf numFmtId="166" fontId="2" fillId="2" borderId="8" xfId="0" applyNumberFormat="1" applyFont="1" applyFill="1" applyBorder="1" applyAlignment="1">
      <alignment horizontal="right"/>
    </xf>
    <xf numFmtId="9" fontId="1" fillId="2" borderId="4" xfId="2" applyNumberFormat="1" applyFont="1" applyFill="1" applyBorder="1" applyAlignment="1">
      <alignment horizontal="right"/>
    </xf>
    <xf numFmtId="0" fontId="0" fillId="0" borderId="4" xfId="0" applyBorder="1" applyAlignment="1">
      <alignment horizontal="right"/>
    </xf>
    <xf numFmtId="38" fontId="0" fillId="0" borderId="4" xfId="0" applyNumberFormat="1" applyBorder="1" applyAlignment="1">
      <alignment horizontal="right"/>
    </xf>
    <xf numFmtId="6" fontId="0" fillId="0" borderId="0" xfId="0" applyNumberFormat="1" applyAlignment="1">
      <alignment horizontal="right"/>
    </xf>
    <xf numFmtId="9" fontId="0" fillId="0" borderId="4" xfId="0" applyNumberFormat="1" applyBorder="1" applyAlignment="1">
      <alignment horizontal="right"/>
    </xf>
    <xf numFmtId="166" fontId="2" fillId="2" borderId="9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38" fontId="0" fillId="0" borderId="0" xfId="0" applyNumberFormat="1" applyAlignment="1">
      <alignment horizontal="right"/>
    </xf>
    <xf numFmtId="0" fontId="2" fillId="0" borderId="0" xfId="0" applyFont="1" applyFill="1" applyBorder="1"/>
    <xf numFmtId="0" fontId="2" fillId="0" borderId="0" xfId="0" applyFont="1" applyBorder="1"/>
    <xf numFmtId="164" fontId="2" fillId="0" borderId="0" xfId="1" applyNumberFormat="1" applyFont="1" applyBorder="1"/>
    <xf numFmtId="6" fontId="2" fillId="0" borderId="0" xfId="0" applyNumberFormat="1" applyFont="1" applyBorder="1"/>
    <xf numFmtId="0" fontId="0" fillId="0" borderId="2" xfId="0" applyFill="1" applyBorder="1"/>
    <xf numFmtId="0" fontId="0" fillId="0" borderId="2" xfId="0" applyBorder="1"/>
    <xf numFmtId="164" fontId="0" fillId="0" borderId="2" xfId="1" applyNumberFormat="1" applyFont="1" applyBorder="1"/>
    <xf numFmtId="6" fontId="0" fillId="0" borderId="2" xfId="0" applyNumberFormat="1" applyBorder="1"/>
    <xf numFmtId="9" fontId="0" fillId="0" borderId="2" xfId="0" applyNumberFormat="1" applyFill="1" applyBorder="1" applyAlignment="1">
      <alignment horizontal="left"/>
    </xf>
    <xf numFmtId="6" fontId="2" fillId="0" borderId="2" xfId="0" applyNumberFormat="1" applyFont="1" applyBorder="1" applyAlignment="1">
      <alignment horizontal="right"/>
    </xf>
    <xf numFmtId="6" fontId="2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9" fontId="0" fillId="0" borderId="2" xfId="0" applyNumberFormat="1" applyBorder="1" applyAlignment="1">
      <alignment horizontal="right"/>
    </xf>
    <xf numFmtId="9" fontId="2" fillId="0" borderId="0" xfId="0" applyNumberFormat="1" applyFont="1" applyBorder="1" applyAlignment="1">
      <alignment horizontal="right"/>
    </xf>
    <xf numFmtId="6" fontId="8" fillId="2" borderId="0" xfId="0" applyNumberFormat="1" applyFont="1" applyFill="1" applyAlignment="1">
      <alignment horizontal="right"/>
    </xf>
    <xf numFmtId="6" fontId="9" fillId="2" borderId="0" xfId="2" applyNumberFormat="1" applyFont="1" applyFill="1" applyAlignment="1">
      <alignment horizontal="right"/>
    </xf>
    <xf numFmtId="6" fontId="9" fillId="2" borderId="2" xfId="2" applyNumberFormat="1" applyFont="1" applyFill="1" applyBorder="1" applyAlignment="1">
      <alignment horizontal="right"/>
    </xf>
    <xf numFmtId="0" fontId="10" fillId="2" borderId="0" xfId="0" applyFont="1" applyFill="1"/>
    <xf numFmtId="6" fontId="2" fillId="0" borderId="1" xfId="0" applyNumberFormat="1" applyFont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lientsCurrent\1207%20-%20Maryland\2020\HBE\DampLocal\Maryland%20Reinsurance%20Analysis%20v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W"/>
      <sheetName val="Compare"/>
      <sheetName val="Sheet1"/>
      <sheetName val="KJR export"/>
      <sheetName val="Buckets"/>
      <sheetName val="Assumptions"/>
      <sheetName val="Mike"/>
      <sheetName val="Carrier Continuance"/>
      <sheetName val="Cross Pivot"/>
      <sheetName val="Table1"/>
      <sheetName val="Table 2"/>
      <sheetName val="Table 3"/>
      <sheetName val="Table 4"/>
      <sheetName val="Table 5"/>
      <sheetName val="Query Results"/>
      <sheetName val="Validation"/>
      <sheetName val="URRT Data"/>
      <sheetName val="Tie to URRT"/>
      <sheetName val="2020 vs 2018"/>
      <sheetName val="Quartile"/>
    </sheetNames>
    <sheetDataSet>
      <sheetData sheetId="0"/>
      <sheetData sheetId="1"/>
      <sheetData sheetId="2"/>
      <sheetData sheetId="3"/>
      <sheetData sheetId="4"/>
      <sheetData sheetId="5">
        <row r="23">
          <cell r="J23">
            <v>20000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B2:T98"/>
  <sheetViews>
    <sheetView showGridLines="0" view="pageBreakPreview" zoomScale="60" zoomScaleNormal="85" workbookViewId="0">
      <selection activeCell="O30" sqref="O30"/>
    </sheetView>
  </sheetViews>
  <sheetFormatPr defaultRowHeight="14.5" x14ac:dyDescent="0.35"/>
  <cols>
    <col min="1" max="1" width="3" customWidth="1"/>
    <col min="2" max="2" width="38.6328125" customWidth="1"/>
    <col min="3" max="3" width="12.6328125" bestFit="1" customWidth="1"/>
    <col min="4" max="4" width="15.36328125" style="10" bestFit="1" customWidth="1"/>
    <col min="5" max="5" width="0.90625" customWidth="1"/>
    <col min="6" max="6" width="18.81640625" style="11" bestFit="1" customWidth="1"/>
    <col min="7" max="7" width="3.6328125" style="11" bestFit="1" customWidth="1"/>
    <col min="8" max="8" width="18.453125" style="11" bestFit="1" customWidth="1"/>
    <col min="9" max="9" width="0.90625" style="11" customWidth="1"/>
    <col min="10" max="10" width="15.08984375" style="11" bestFit="1" customWidth="1"/>
    <col min="11" max="11" width="0.90625" style="11" customWidth="1"/>
    <col min="12" max="12" width="16.81640625" style="11" bestFit="1" customWidth="1"/>
    <col min="13" max="13" width="0.90625" customWidth="1"/>
    <col min="14" max="14" width="12.453125" style="20" bestFit="1" customWidth="1"/>
    <col min="18" max="18" width="11.36328125" bestFit="1" customWidth="1"/>
  </cols>
  <sheetData>
    <row r="2" spans="2:20" s="2" customFormat="1" x14ac:dyDescent="0.35">
      <c r="B2" s="1" t="s">
        <v>0</v>
      </c>
      <c r="D2" s="3"/>
      <c r="F2" s="4"/>
      <c r="G2" s="4"/>
      <c r="H2" s="4"/>
      <c r="I2" s="4"/>
      <c r="J2" s="4"/>
      <c r="K2" s="4"/>
      <c r="L2" s="4"/>
      <c r="N2" s="112"/>
    </row>
    <row r="3" spans="2:20" s="5" customFormat="1" x14ac:dyDescent="0.35">
      <c r="D3" s="6"/>
      <c r="F3" s="121" t="s">
        <v>1</v>
      </c>
      <c r="G3" s="121"/>
      <c r="H3" s="121"/>
      <c r="I3" s="121"/>
      <c r="J3" s="121"/>
      <c r="K3" s="121"/>
      <c r="L3" s="121"/>
      <c r="N3" s="113" t="s">
        <v>2</v>
      </c>
    </row>
    <row r="4" spans="2:20" s="5" customFormat="1" x14ac:dyDescent="0.35">
      <c r="B4" s="7" t="s">
        <v>3</v>
      </c>
      <c r="D4" s="8" t="s">
        <v>4</v>
      </c>
      <c r="F4" s="110" t="s">
        <v>5</v>
      </c>
      <c r="G4" s="111"/>
      <c r="H4" s="110" t="s">
        <v>6</v>
      </c>
      <c r="I4" s="111"/>
      <c r="J4" s="110" t="s">
        <v>7</v>
      </c>
      <c r="K4" s="111"/>
      <c r="L4" s="110" t="s">
        <v>8</v>
      </c>
      <c r="N4" s="114" t="s">
        <v>9</v>
      </c>
    </row>
    <row r="5" spans="2:20" x14ac:dyDescent="0.35">
      <c r="B5" s="9" t="s">
        <v>10</v>
      </c>
      <c r="D5" s="10">
        <v>419750.74999986967</v>
      </c>
      <c r="F5" s="11">
        <v>0</v>
      </c>
      <c r="H5" s="11">
        <v>213106627.09796453</v>
      </c>
      <c r="J5" s="11">
        <v>-156172160.1303091</v>
      </c>
      <c r="L5" s="11">
        <v>0</v>
      </c>
      <c r="N5" s="84">
        <f>(F5-J5-L5)/H5</f>
        <v>0.73283577454640669</v>
      </c>
      <c r="T5" s="12"/>
    </row>
    <row r="6" spans="2:20" x14ac:dyDescent="0.35">
      <c r="B6" s="9" t="s">
        <v>11</v>
      </c>
      <c r="D6" s="10">
        <v>19270.270000000535</v>
      </c>
      <c r="F6" s="11">
        <v>0</v>
      </c>
      <c r="H6" s="11">
        <v>14223996.132933153</v>
      </c>
      <c r="J6" s="11">
        <v>-7098484.3244644897</v>
      </c>
      <c r="L6" s="11">
        <v>0</v>
      </c>
      <c r="N6" s="84">
        <f t="shared" ref="N6:N36" si="0">(F6-J6-L6)/H6</f>
        <v>0.49904993351546278</v>
      </c>
      <c r="T6" s="12"/>
    </row>
    <row r="7" spans="2:20" x14ac:dyDescent="0.35">
      <c r="B7" s="9" t="s">
        <v>12</v>
      </c>
      <c r="D7" s="10">
        <v>1748.9399999999948</v>
      </c>
      <c r="F7" s="11">
        <v>0</v>
      </c>
      <c r="H7" s="11">
        <v>1028401.9230814425</v>
      </c>
      <c r="J7" s="11">
        <v>251035.43313787327</v>
      </c>
      <c r="L7" s="11">
        <v>0</v>
      </c>
      <c r="N7" s="84">
        <f t="shared" si="0"/>
        <v>-0.24410245401494934</v>
      </c>
      <c r="T7" s="12"/>
    </row>
    <row r="8" spans="2:20" x14ac:dyDescent="0.35">
      <c r="B8" s="9" t="s">
        <v>13</v>
      </c>
      <c r="D8" s="10">
        <v>1323.5499999999981</v>
      </c>
      <c r="F8" s="11">
        <v>0</v>
      </c>
      <c r="H8" s="11">
        <v>871474.1719275458</v>
      </c>
      <c r="J8" s="11">
        <v>443595.41730282782</v>
      </c>
      <c r="L8" s="11">
        <v>0</v>
      </c>
      <c r="N8" s="84">
        <f t="shared" si="0"/>
        <v>-0.50901728541383351</v>
      </c>
      <c r="T8" s="12"/>
    </row>
    <row r="9" spans="2:20" x14ac:dyDescent="0.35">
      <c r="B9" s="9" t="s">
        <v>14</v>
      </c>
      <c r="D9" s="10">
        <v>696.28</v>
      </c>
      <c r="F9" s="11">
        <v>0</v>
      </c>
      <c r="H9" s="11">
        <v>430119.01827193546</v>
      </c>
      <c r="J9" s="11">
        <v>471424.17224279972</v>
      </c>
      <c r="L9" s="11">
        <v>0</v>
      </c>
      <c r="N9" s="84">
        <f t="shared" si="0"/>
        <v>-1.0960319172512147</v>
      </c>
      <c r="T9" s="12"/>
    </row>
    <row r="10" spans="2:20" x14ac:dyDescent="0.35">
      <c r="B10" s="9" t="s">
        <v>15</v>
      </c>
      <c r="D10" s="10">
        <v>1473.9299999999964</v>
      </c>
      <c r="F10" s="11">
        <v>0</v>
      </c>
      <c r="H10" s="11">
        <v>954294.35647168441</v>
      </c>
      <c r="J10" s="11">
        <v>3403292.8696108055</v>
      </c>
      <c r="L10" s="11">
        <v>0</v>
      </c>
      <c r="N10" s="84">
        <f t="shared" si="0"/>
        <v>-3.5662925663668505</v>
      </c>
      <c r="T10" s="12"/>
    </row>
    <row r="11" spans="2:20" x14ac:dyDescent="0.35">
      <c r="B11" s="9" t="s">
        <v>16</v>
      </c>
      <c r="D11" s="10">
        <v>341329.53999984794</v>
      </c>
      <c r="F11" s="11">
        <v>7957596.4483244717</v>
      </c>
      <c r="H11" s="11">
        <v>178305161.63418013</v>
      </c>
      <c r="J11" s="11">
        <v>-131534006.57252237</v>
      </c>
      <c r="L11" s="11">
        <v>0</v>
      </c>
      <c r="N11" s="84">
        <f t="shared" si="0"/>
        <v>0.78231948947745467</v>
      </c>
      <c r="T11" s="12"/>
    </row>
    <row r="12" spans="2:20" x14ac:dyDescent="0.35">
      <c r="B12" s="9" t="s">
        <v>17</v>
      </c>
      <c r="D12" s="10">
        <v>34828.279999999773</v>
      </c>
      <c r="F12" s="11">
        <v>1315694.5228792732</v>
      </c>
      <c r="H12" s="11">
        <v>23714729.599335037</v>
      </c>
      <c r="J12" s="11">
        <v>-8862658.3015865013</v>
      </c>
      <c r="L12" s="11">
        <v>0</v>
      </c>
      <c r="N12" s="84">
        <f t="shared" si="0"/>
        <v>0.42919961544706697</v>
      </c>
      <c r="T12" s="12"/>
    </row>
    <row r="13" spans="2:20" x14ac:dyDescent="0.35">
      <c r="B13" s="9" t="s">
        <v>18</v>
      </c>
      <c r="D13" s="10">
        <v>8148.7999999999547</v>
      </c>
      <c r="F13" s="11">
        <v>276926.54821542191</v>
      </c>
      <c r="H13" s="11">
        <v>5610182.0758318612</v>
      </c>
      <c r="J13" s="11">
        <v>679845.77935740154</v>
      </c>
      <c r="L13" s="11">
        <v>0</v>
      </c>
      <c r="N13" s="84">
        <f t="shared" si="0"/>
        <v>-7.1819278892519003E-2</v>
      </c>
      <c r="T13" s="12"/>
    </row>
    <row r="14" spans="2:20" x14ac:dyDescent="0.35">
      <c r="B14" s="9" t="s">
        <v>19</v>
      </c>
      <c r="D14" s="10">
        <v>5556.3799999999901</v>
      </c>
      <c r="F14" s="11">
        <v>161624.19867704896</v>
      </c>
      <c r="H14" s="11">
        <v>4155017.0885602725</v>
      </c>
      <c r="J14" s="11">
        <v>1604255.7020818542</v>
      </c>
      <c r="L14" s="11">
        <v>0</v>
      </c>
      <c r="N14" s="84">
        <f t="shared" si="0"/>
        <v>-0.34720230330140034</v>
      </c>
      <c r="T14" s="12"/>
    </row>
    <row r="15" spans="2:20" x14ac:dyDescent="0.35">
      <c r="B15" s="9" t="s">
        <v>20</v>
      </c>
      <c r="D15" s="10">
        <v>3327.9600000000041</v>
      </c>
      <c r="F15" s="11">
        <v>90635.111799326769</v>
      </c>
      <c r="H15" s="11">
        <v>2603325.0986992689</v>
      </c>
      <c r="J15" s="11">
        <v>1997564.1473460072</v>
      </c>
      <c r="L15" s="11">
        <v>0</v>
      </c>
      <c r="N15" s="84">
        <f t="shared" si="0"/>
        <v>-0.73249746506860114</v>
      </c>
      <c r="T15" s="12"/>
    </row>
    <row r="16" spans="2:20" x14ac:dyDescent="0.35">
      <c r="B16" s="9" t="s">
        <v>21</v>
      </c>
      <c r="D16" s="10">
        <v>4278.2000000000098</v>
      </c>
      <c r="F16" s="11">
        <v>121743.83909974452</v>
      </c>
      <c r="H16" s="11">
        <v>3158984.2720196215</v>
      </c>
      <c r="J16" s="11">
        <v>9661582.119921783</v>
      </c>
      <c r="L16" s="11">
        <v>0</v>
      </c>
      <c r="N16" s="84">
        <f t="shared" si="0"/>
        <v>-3.019906862253217</v>
      </c>
      <c r="T16" s="12"/>
    </row>
    <row r="17" spans="2:20" x14ac:dyDescent="0.35">
      <c r="B17" s="9" t="s">
        <v>22</v>
      </c>
      <c r="D17" s="10">
        <v>360407.6899998656</v>
      </c>
      <c r="F17" s="11">
        <v>32165176.088757467</v>
      </c>
      <c r="H17" s="11">
        <v>211961552.61537513</v>
      </c>
      <c r="J17" s="11">
        <v>-152402994.39170945</v>
      </c>
      <c r="L17" s="11">
        <v>0</v>
      </c>
      <c r="N17" s="84">
        <f t="shared" si="0"/>
        <v>0.87076249538228201</v>
      </c>
      <c r="T17" s="12"/>
    </row>
    <row r="18" spans="2:20" x14ac:dyDescent="0.35">
      <c r="B18" s="9" t="s">
        <v>23</v>
      </c>
      <c r="D18" s="10">
        <v>46699.430000000648</v>
      </c>
      <c r="F18" s="11">
        <v>5496206.1395212281</v>
      </c>
      <c r="H18" s="11">
        <v>31946081.683361024</v>
      </c>
      <c r="J18" s="11">
        <v>-9897573.6695133485</v>
      </c>
      <c r="L18" s="11">
        <v>0</v>
      </c>
      <c r="N18" s="84">
        <f t="shared" si="0"/>
        <v>0.48186754048939778</v>
      </c>
      <c r="T18" s="12"/>
    </row>
    <row r="19" spans="2:20" x14ac:dyDescent="0.35">
      <c r="B19" s="9" t="s">
        <v>24</v>
      </c>
      <c r="D19" s="10">
        <v>10809.500000000065</v>
      </c>
      <c r="F19" s="11">
        <v>1393218.0791422154</v>
      </c>
      <c r="H19" s="11">
        <v>7585723.6779810553</v>
      </c>
      <c r="J19" s="11">
        <v>701081.22677621641</v>
      </c>
      <c r="L19" s="11">
        <v>0</v>
      </c>
      <c r="N19" s="84">
        <f t="shared" si="0"/>
        <v>9.1242033291438276E-2</v>
      </c>
      <c r="T19" s="12"/>
    </row>
    <row r="20" spans="2:20" x14ac:dyDescent="0.35">
      <c r="B20" s="9" t="s">
        <v>25</v>
      </c>
      <c r="D20" s="10">
        <v>10456.009999999962</v>
      </c>
      <c r="F20" s="11">
        <v>1082958.5846073269</v>
      </c>
      <c r="H20" s="11">
        <v>8482817.2169107515</v>
      </c>
      <c r="J20" s="11">
        <v>2923632.6905923411</v>
      </c>
      <c r="L20" s="11">
        <v>0</v>
      </c>
      <c r="N20" s="84">
        <f t="shared" si="0"/>
        <v>-0.2169885379960298</v>
      </c>
      <c r="T20" s="12"/>
    </row>
    <row r="21" spans="2:20" x14ac:dyDescent="0.35">
      <c r="B21" s="9" t="s">
        <v>26</v>
      </c>
      <c r="D21" s="10">
        <v>4433.8199999999661</v>
      </c>
      <c r="F21" s="11">
        <v>468434.10315587948</v>
      </c>
      <c r="H21" s="11">
        <v>3850068.8824714823</v>
      </c>
      <c r="J21" s="11">
        <v>2456368.7051048242</v>
      </c>
      <c r="L21" s="11">
        <v>0</v>
      </c>
      <c r="N21" s="84">
        <f t="shared" si="0"/>
        <v>-0.51633741177971493</v>
      </c>
      <c r="T21" s="12"/>
    </row>
    <row r="22" spans="2:20" x14ac:dyDescent="0.35">
      <c r="B22" s="9" t="s">
        <v>27</v>
      </c>
      <c r="D22" s="10">
        <v>6477.3999999999742</v>
      </c>
      <c r="F22" s="11">
        <v>719028.33936387277</v>
      </c>
      <c r="H22" s="11">
        <v>5345926.4136706674</v>
      </c>
      <c r="J22" s="11">
        <v>14267633.177948402</v>
      </c>
      <c r="L22" s="11">
        <v>0</v>
      </c>
      <c r="N22" s="84">
        <f t="shared" si="0"/>
        <v>-2.53437922451343</v>
      </c>
      <c r="T22" s="12"/>
    </row>
    <row r="23" spans="2:20" x14ac:dyDescent="0.35">
      <c r="B23" s="9" t="s">
        <v>28</v>
      </c>
      <c r="D23" s="10">
        <v>331853.93999989063</v>
      </c>
      <c r="F23" s="11">
        <v>59974987.82679408</v>
      </c>
      <c r="H23" s="11">
        <v>213982641.24157816</v>
      </c>
      <c r="J23" s="11">
        <v>-151323108.89648816</v>
      </c>
      <c r="L23" s="11">
        <v>0</v>
      </c>
      <c r="N23" s="84">
        <f t="shared" si="0"/>
        <v>0.987454381800694</v>
      </c>
      <c r="T23" s="12"/>
    </row>
    <row r="24" spans="2:20" x14ac:dyDescent="0.35">
      <c r="B24" s="9" t="s">
        <v>29</v>
      </c>
      <c r="D24" s="10">
        <v>61114.319999997781</v>
      </c>
      <c r="F24" s="11">
        <v>13223718.457343584</v>
      </c>
      <c r="H24" s="11">
        <v>43649856.175902061</v>
      </c>
      <c r="J24" s="11">
        <v>-12876089.448346432</v>
      </c>
      <c r="L24" s="11">
        <v>0</v>
      </c>
      <c r="N24" s="84">
        <f t="shared" si="0"/>
        <v>0.59793571370571963</v>
      </c>
      <c r="T24" s="12"/>
    </row>
    <row r="25" spans="2:20" x14ac:dyDescent="0.35">
      <c r="B25" s="9" t="s">
        <v>30</v>
      </c>
      <c r="D25" s="10">
        <v>15605.999999999985</v>
      </c>
      <c r="F25" s="11">
        <v>3896370.2819625931</v>
      </c>
      <c r="H25" s="11">
        <v>11130323.812451418</v>
      </c>
      <c r="J25" s="11">
        <v>812799.98233170761</v>
      </c>
      <c r="L25" s="11">
        <v>0</v>
      </c>
      <c r="N25" s="84">
        <f t="shared" si="0"/>
        <v>0.27704228121209878</v>
      </c>
      <c r="T25" s="12"/>
    </row>
    <row r="26" spans="2:20" x14ac:dyDescent="0.35">
      <c r="B26" s="9" t="s">
        <v>31</v>
      </c>
      <c r="D26" s="10">
        <v>18013.200000000015</v>
      </c>
      <c r="F26" s="11">
        <v>3694145.8553562597</v>
      </c>
      <c r="H26" s="11">
        <v>15287737.194838021</v>
      </c>
      <c r="J26" s="11">
        <v>4676673.150854025</v>
      </c>
      <c r="L26" s="11">
        <v>0</v>
      </c>
      <c r="N26" s="84">
        <f t="shared" si="0"/>
        <v>-6.4268981274058043E-2</v>
      </c>
      <c r="T26" s="12"/>
    </row>
    <row r="27" spans="2:20" x14ac:dyDescent="0.35">
      <c r="B27" s="9" t="s">
        <v>32</v>
      </c>
      <c r="D27" s="10">
        <v>6242.3999999999487</v>
      </c>
      <c r="F27" s="11">
        <v>1349909.9384019838</v>
      </c>
      <c r="H27" s="11">
        <v>5418317.1104464345</v>
      </c>
      <c r="J27" s="11">
        <v>3697295.2649495169</v>
      </c>
      <c r="L27" s="11">
        <v>0</v>
      </c>
      <c r="N27" s="84">
        <f t="shared" si="0"/>
        <v>-0.43323144044519091</v>
      </c>
      <c r="T27" s="12"/>
    </row>
    <row r="28" spans="2:20" x14ac:dyDescent="0.35">
      <c r="B28" s="9" t="s">
        <v>33</v>
      </c>
      <c r="D28" s="10">
        <v>12724.499999999911</v>
      </c>
      <c r="F28" s="11">
        <v>2864534.6879460355</v>
      </c>
      <c r="H28" s="11">
        <v>10885804.378055222</v>
      </c>
      <c r="J28" s="11">
        <v>27733253.722491372</v>
      </c>
      <c r="L28" s="11">
        <v>0</v>
      </c>
      <c r="N28" s="84">
        <f t="shared" si="0"/>
        <v>-2.2845090882469266</v>
      </c>
      <c r="T28" s="12"/>
    </row>
    <row r="29" spans="2:20" x14ac:dyDescent="0.35">
      <c r="B29" s="9" t="s">
        <v>34</v>
      </c>
      <c r="D29" s="10">
        <v>231875.57999996282</v>
      </c>
      <c r="F29" s="11">
        <v>117523929.27823594</v>
      </c>
      <c r="H29" s="11">
        <v>167019471.88817212</v>
      </c>
      <c r="J29" s="11">
        <v>-115100901.60026975</v>
      </c>
      <c r="L29" s="11">
        <v>0</v>
      </c>
      <c r="N29" s="84">
        <f t="shared" si="0"/>
        <v>1.3928006611963164</v>
      </c>
      <c r="T29" s="12"/>
    </row>
    <row r="30" spans="2:20" x14ac:dyDescent="0.35">
      <c r="B30" s="9" t="s">
        <v>35</v>
      </c>
      <c r="D30" s="10">
        <v>88207.560000004916</v>
      </c>
      <c r="F30" s="11">
        <v>58718421.604204692</v>
      </c>
      <c r="H30" s="11">
        <v>65303454.661119364</v>
      </c>
      <c r="J30" s="11">
        <v>-17181466.498998817</v>
      </c>
      <c r="L30" s="11">
        <v>0</v>
      </c>
      <c r="N30" s="84">
        <f t="shared" si="0"/>
        <v>1.1622645156687719</v>
      </c>
      <c r="T30" s="12"/>
    </row>
    <row r="31" spans="2:20" x14ac:dyDescent="0.35">
      <c r="B31" s="9" t="s">
        <v>36</v>
      </c>
      <c r="D31" s="10">
        <v>32577.780000001301</v>
      </c>
      <c r="F31" s="11">
        <v>24258457.692658778</v>
      </c>
      <c r="H31" s="11">
        <v>24095722.918525662</v>
      </c>
      <c r="J31" s="11">
        <v>1983111.9840893012</v>
      </c>
      <c r="L31" s="11">
        <v>0</v>
      </c>
      <c r="N31" s="84">
        <f t="shared" si="0"/>
        <v>0.92445226830872074</v>
      </c>
      <c r="T31" s="12"/>
    </row>
    <row r="32" spans="2:20" x14ac:dyDescent="0.35">
      <c r="B32" s="9" t="s">
        <v>37</v>
      </c>
      <c r="D32" s="10">
        <v>42527.880000000347</v>
      </c>
      <c r="F32" s="11">
        <v>28896652.741914544</v>
      </c>
      <c r="H32" s="11">
        <v>38039064.606253192</v>
      </c>
      <c r="J32" s="11">
        <v>10272918.934637109</v>
      </c>
      <c r="L32" s="11">
        <v>0</v>
      </c>
      <c r="N32" s="84">
        <f t="shared" si="0"/>
        <v>0.48959494667005832</v>
      </c>
      <c r="T32" s="12"/>
    </row>
    <row r="33" spans="2:20" x14ac:dyDescent="0.35">
      <c r="B33" s="9" t="s">
        <v>38</v>
      </c>
      <c r="D33" s="10">
        <v>18969.960000000079</v>
      </c>
      <c r="F33" s="11">
        <v>13932534.365263879</v>
      </c>
      <c r="H33" s="11">
        <v>17007998.867414299</v>
      </c>
      <c r="J33" s="11">
        <v>11375799.170897184</v>
      </c>
      <c r="L33" s="11">
        <v>0</v>
      </c>
      <c r="N33" s="84">
        <f t="shared" si="0"/>
        <v>0.15032545652770213</v>
      </c>
      <c r="T33" s="12"/>
    </row>
    <row r="34" spans="2:20" x14ac:dyDescent="0.35">
      <c r="B34" s="9" t="s">
        <v>39</v>
      </c>
      <c r="D34" s="10">
        <v>72025.259999999325</v>
      </c>
      <c r="F34" s="11">
        <v>65916355.086441785</v>
      </c>
      <c r="H34" s="11">
        <v>64910646.906561829</v>
      </c>
      <c r="J34" s="11">
        <v>164665605.09282392</v>
      </c>
      <c r="L34" s="11">
        <v>0</v>
      </c>
      <c r="N34" s="84">
        <f t="shared" si="0"/>
        <v>-1.5213105201143753</v>
      </c>
      <c r="T34" s="12"/>
    </row>
    <row r="35" spans="2:20" x14ac:dyDescent="0.35">
      <c r="B35" s="9" t="s">
        <v>40</v>
      </c>
      <c r="D35" s="10">
        <v>13403.979999999963</v>
      </c>
      <c r="F35" s="11">
        <v>45913088.206423</v>
      </c>
      <c r="H35" s="11">
        <v>10596551.821776904</v>
      </c>
      <c r="J35" s="11">
        <v>-7072429.4680118188</v>
      </c>
      <c r="L35" s="11">
        <v>0</v>
      </c>
      <c r="N35" s="84">
        <f t="shared" si="0"/>
        <v>5.0002603267172843</v>
      </c>
      <c r="T35" s="12"/>
    </row>
    <row r="36" spans="2:20" x14ac:dyDescent="0.35">
      <c r="B36" s="13" t="s">
        <v>41</v>
      </c>
      <c r="D36" s="10">
        <v>10555.079999999971</v>
      </c>
      <c r="F36" s="11">
        <v>40080990.848326892</v>
      </c>
      <c r="H36" s="11">
        <v>7774525.0302188974</v>
      </c>
      <c r="J36" s="11">
        <v>-1537434.9361132355</v>
      </c>
      <c r="L36" s="11">
        <v>0</v>
      </c>
      <c r="N36" s="84">
        <f t="shared" si="0"/>
        <v>5.3531792132217664</v>
      </c>
      <c r="T36" s="12"/>
    </row>
    <row r="37" spans="2:20" x14ac:dyDescent="0.35">
      <c r="B37" s="13" t="s">
        <v>42</v>
      </c>
      <c r="D37" s="10">
        <v>6432.4599999999882</v>
      </c>
      <c r="F37" s="11">
        <v>24156081.313250542</v>
      </c>
      <c r="H37" s="11">
        <v>4625025.7655673316</v>
      </c>
      <c r="J37" s="11">
        <v>1090367.0229509992</v>
      </c>
      <c r="L37" s="11">
        <v>0</v>
      </c>
      <c r="N37" s="84">
        <f>(F37-J37-L37)/H37</f>
        <v>4.9871536850714548</v>
      </c>
      <c r="T37" s="12"/>
    </row>
    <row r="38" spans="2:20" x14ac:dyDescent="0.35">
      <c r="B38" s="13" t="s">
        <v>43</v>
      </c>
      <c r="D38" s="10">
        <v>6800.5799999999863</v>
      </c>
      <c r="F38" s="11">
        <v>26464251.789152056</v>
      </c>
      <c r="H38" s="11">
        <v>6011948.5850601941</v>
      </c>
      <c r="J38" s="11">
        <v>2243605.7944857399</v>
      </c>
      <c r="L38" s="11">
        <v>0</v>
      </c>
      <c r="N38" s="84">
        <f>(F38-J38-L38)/H38</f>
        <v>4.0287513527402874</v>
      </c>
      <c r="T38" s="12"/>
    </row>
    <row r="39" spans="2:20" x14ac:dyDescent="0.35">
      <c r="B39" s="13" t="s">
        <v>44</v>
      </c>
      <c r="D39" s="10">
        <v>5676.9999999999936</v>
      </c>
      <c r="F39" s="11">
        <v>24768762.052890848</v>
      </c>
      <c r="H39" s="11">
        <v>4932054.0692359097</v>
      </c>
      <c r="J39" s="11">
        <v>3728475.4715393865</v>
      </c>
      <c r="L39" s="11">
        <v>0</v>
      </c>
      <c r="N39" s="84">
        <f>(F39-J39-L39)/H39</f>
        <v>4.2660291809434874</v>
      </c>
      <c r="T39" s="12"/>
    </row>
    <row r="40" spans="2:20" s="14" customFormat="1" x14ac:dyDescent="0.35">
      <c r="B40" s="105" t="s">
        <v>45</v>
      </c>
      <c r="C40" s="106"/>
      <c r="D40" s="107">
        <v>93294.580000000453</v>
      </c>
      <c r="E40" s="106"/>
      <c r="F40" s="108">
        <v>661002544.87958074</v>
      </c>
      <c r="G40" s="108"/>
      <c r="H40" s="108">
        <v>87976371.939969242</v>
      </c>
      <c r="I40" s="108"/>
      <c r="J40" s="108">
        <v>499918091.20466805</v>
      </c>
      <c r="K40" s="108"/>
      <c r="L40" s="108">
        <v>0</v>
      </c>
      <c r="M40" s="106"/>
      <c r="N40" s="115">
        <f>(F40-J40-L40)/H40</f>
        <v>1.8309967792810189</v>
      </c>
      <c r="T40" s="15"/>
    </row>
    <row r="41" spans="2:20" s="14" customFormat="1" x14ac:dyDescent="0.35">
      <c r="B41" s="101" t="s">
        <v>1</v>
      </c>
      <c r="C41" s="102"/>
      <c r="D41" s="103">
        <f>SUM(D5:D40)</f>
        <v>2348918.7899994412</v>
      </c>
      <c r="E41" s="102"/>
      <c r="F41" s="104">
        <f>SUM(F5:F40)</f>
        <v>1267884978.9096913</v>
      </c>
      <c r="G41" s="104"/>
      <c r="H41" s="104">
        <f>SUM(H5:H40)</f>
        <v>1515981999.9321926</v>
      </c>
      <c r="I41" s="104"/>
      <c r="J41" s="104">
        <f>SUM(J5:J40)</f>
        <v>-1.919865608215332E-4</v>
      </c>
      <c r="K41" s="104"/>
      <c r="L41" s="104">
        <f>SUM(L5:L40)</f>
        <v>0</v>
      </c>
      <c r="M41" s="102"/>
      <c r="N41" s="116">
        <f>(F41-J41-L41)/H41</f>
        <v>0.83634566833022672</v>
      </c>
      <c r="T41" s="15"/>
    </row>
    <row r="43" spans="2:20" s="2" customFormat="1" x14ac:dyDescent="0.35">
      <c r="B43" s="1" t="s">
        <v>46</v>
      </c>
      <c r="D43" s="3"/>
      <c r="F43" s="4"/>
      <c r="G43" s="4"/>
      <c r="H43" s="4"/>
      <c r="I43" s="4"/>
      <c r="J43" s="4"/>
      <c r="K43" s="4"/>
      <c r="L43" s="4"/>
      <c r="N43" s="112"/>
    </row>
    <row r="44" spans="2:20" s="5" customFormat="1" x14ac:dyDescent="0.35">
      <c r="D44" s="6"/>
      <c r="F44" s="121" t="s">
        <v>1</v>
      </c>
      <c r="G44" s="121"/>
      <c r="H44" s="121"/>
      <c r="I44" s="121"/>
      <c r="J44" s="121"/>
      <c r="K44" s="121"/>
      <c r="L44" s="121"/>
      <c r="N44" s="113" t="s">
        <v>2</v>
      </c>
    </row>
    <row r="45" spans="2:20" s="5" customFormat="1" x14ac:dyDescent="0.35">
      <c r="B45" s="7" t="s">
        <v>3</v>
      </c>
      <c r="D45" s="8" t="s">
        <v>4</v>
      </c>
      <c r="F45" s="110" t="s">
        <v>5</v>
      </c>
      <c r="G45" s="111"/>
      <c r="H45" s="110" t="s">
        <v>6</v>
      </c>
      <c r="I45" s="111"/>
      <c r="J45" s="110" t="s">
        <v>7</v>
      </c>
      <c r="K45" s="111"/>
      <c r="L45" s="110" t="s">
        <v>8</v>
      </c>
      <c r="M45" s="113"/>
      <c r="N45" s="114" t="s">
        <v>9</v>
      </c>
    </row>
    <row r="46" spans="2:20" x14ac:dyDescent="0.35">
      <c r="B46" s="9" t="str">
        <f>B5</f>
        <v>No claims incurred, RS 0-0.5</v>
      </c>
      <c r="D46" s="10">
        <f>D5</f>
        <v>419750.74999986967</v>
      </c>
      <c r="F46" s="11">
        <f>F5</f>
        <v>0</v>
      </c>
      <c r="H46" s="11">
        <v>160360062.22838438</v>
      </c>
      <c r="J46" s="11">
        <v>-120628673.70116723</v>
      </c>
      <c r="L46" s="11">
        <v>0</v>
      </c>
      <c r="N46" s="84">
        <f>(F46-J46-L46)/H46</f>
        <v>0.75223638619800604</v>
      </c>
      <c r="T46" s="12"/>
    </row>
    <row r="47" spans="2:20" x14ac:dyDescent="0.35">
      <c r="B47" s="9" t="str">
        <f t="shared" ref="B47:B81" si="1">B6</f>
        <v>No claims incurred, RS 0.5-1.5</v>
      </c>
      <c r="D47" s="10">
        <f t="shared" ref="D47:D81" si="2">D6</f>
        <v>19270.270000000535</v>
      </c>
      <c r="F47" s="11">
        <f t="shared" ref="F47:F81" si="3">F6</f>
        <v>0</v>
      </c>
      <c r="H47" s="11">
        <v>10641545.543245582</v>
      </c>
      <c r="J47" s="11">
        <v>-5431178.0878482331</v>
      </c>
      <c r="L47" s="11">
        <v>0</v>
      </c>
      <c r="N47" s="84">
        <f t="shared" ref="N47:N82" si="4">(F47-J47-L47)/H47</f>
        <v>0.51037493245476162</v>
      </c>
      <c r="T47" s="12"/>
    </row>
    <row r="48" spans="2:20" x14ac:dyDescent="0.35">
      <c r="B48" s="9" t="str">
        <f t="shared" si="1"/>
        <v>No claims incurred, RS 1.5-2.5</v>
      </c>
      <c r="D48" s="10">
        <f t="shared" si="2"/>
        <v>1748.9399999999948</v>
      </c>
      <c r="F48" s="11">
        <f t="shared" si="3"/>
        <v>0</v>
      </c>
      <c r="H48" s="11">
        <v>756129.49366322136</v>
      </c>
      <c r="J48" s="11">
        <v>211051.30934889882</v>
      </c>
      <c r="L48" s="11">
        <v>0</v>
      </c>
      <c r="N48" s="84">
        <f t="shared" si="4"/>
        <v>-0.27912058862618666</v>
      </c>
      <c r="T48" s="12"/>
    </row>
    <row r="49" spans="2:20" x14ac:dyDescent="0.35">
      <c r="B49" s="9" t="str">
        <f t="shared" si="1"/>
        <v>No claims incurred, RS 2.5-3.5</v>
      </c>
      <c r="D49" s="10">
        <f t="shared" si="2"/>
        <v>1323.5499999999981</v>
      </c>
      <c r="F49" s="11">
        <f t="shared" si="3"/>
        <v>0</v>
      </c>
      <c r="H49" s="11">
        <v>637971.64329777868</v>
      </c>
      <c r="J49" s="11">
        <v>360866.76711650781</v>
      </c>
      <c r="L49" s="11">
        <v>0</v>
      </c>
      <c r="N49" s="84">
        <f t="shared" si="4"/>
        <v>-0.56564703291690066</v>
      </c>
      <c r="T49" s="12"/>
    </row>
    <row r="50" spans="2:20" x14ac:dyDescent="0.35">
      <c r="B50" s="9" t="str">
        <f t="shared" si="1"/>
        <v>No claims incurred, RS 3.5-4.5</v>
      </c>
      <c r="D50" s="10">
        <f t="shared" si="2"/>
        <v>696.28</v>
      </c>
      <c r="F50" s="11">
        <f t="shared" si="3"/>
        <v>0</v>
      </c>
      <c r="H50" s="11">
        <v>314699.03078342672</v>
      </c>
      <c r="J50" s="11">
        <v>377284.9962183935</v>
      </c>
      <c r="L50" s="11">
        <v>0</v>
      </c>
      <c r="N50" s="84">
        <f t="shared" si="4"/>
        <v>-1.1988756218255974</v>
      </c>
      <c r="T50" s="12"/>
    </row>
    <row r="51" spans="2:20" x14ac:dyDescent="0.35">
      <c r="B51" s="9" t="str">
        <f t="shared" si="1"/>
        <v>No claims incurred, RS 4.5+</v>
      </c>
      <c r="D51" s="10">
        <f t="shared" si="2"/>
        <v>1473.9299999999964</v>
      </c>
      <c r="F51" s="11">
        <f t="shared" si="3"/>
        <v>0</v>
      </c>
      <c r="H51" s="11">
        <v>694470.37805387634</v>
      </c>
      <c r="J51" s="11">
        <v>2696629.9125600662</v>
      </c>
      <c r="L51" s="11">
        <v>0</v>
      </c>
      <c r="N51" s="84">
        <f t="shared" si="4"/>
        <v>-3.883002065713542</v>
      </c>
      <c r="T51" s="12"/>
    </row>
    <row r="52" spans="2:20" x14ac:dyDescent="0.35">
      <c r="B52" s="9" t="str">
        <f t="shared" si="1"/>
        <v>Claims between 0.01 and 490, RS 0-0.5</v>
      </c>
      <c r="D52" s="10">
        <f t="shared" si="2"/>
        <v>341329.53999984794</v>
      </c>
      <c r="F52" s="11">
        <f t="shared" si="3"/>
        <v>7957596.4483244717</v>
      </c>
      <c r="H52" s="11">
        <v>128906502.93758234</v>
      </c>
      <c r="J52" s="11">
        <v>-101413115.85675739</v>
      </c>
      <c r="L52" s="11">
        <v>0</v>
      </c>
      <c r="N52" s="84">
        <f t="shared" si="4"/>
        <v>0.84844992155314392</v>
      </c>
      <c r="T52" s="12"/>
    </row>
    <row r="53" spans="2:20" x14ac:dyDescent="0.35">
      <c r="B53" s="9" t="str">
        <f t="shared" si="1"/>
        <v>Claims between 0.01 and 490, RS 0.5-1.5</v>
      </c>
      <c r="D53" s="10">
        <f t="shared" si="2"/>
        <v>34828.279999999773</v>
      </c>
      <c r="F53" s="11">
        <f t="shared" si="3"/>
        <v>1315694.5228792732</v>
      </c>
      <c r="H53" s="11">
        <v>17187901.198987197</v>
      </c>
      <c r="J53" s="11">
        <v>-6690631.2593083763</v>
      </c>
      <c r="L53" s="11">
        <v>0</v>
      </c>
      <c r="N53" s="84">
        <f t="shared" si="4"/>
        <v>0.46581171775989877</v>
      </c>
      <c r="T53" s="12"/>
    </row>
    <row r="54" spans="2:20" x14ac:dyDescent="0.35">
      <c r="B54" s="9" t="str">
        <f t="shared" si="1"/>
        <v>Claims between 0.01 and 490, RS 1.5-2.5</v>
      </c>
      <c r="D54" s="10">
        <f t="shared" si="2"/>
        <v>8148.7999999999547</v>
      </c>
      <c r="F54" s="11">
        <f t="shared" si="3"/>
        <v>276926.54821542191</v>
      </c>
      <c r="H54" s="11">
        <v>4061267.9226553058</v>
      </c>
      <c r="J54" s="11">
        <v>603185.73886140727</v>
      </c>
      <c r="L54" s="11">
        <v>0</v>
      </c>
      <c r="N54" s="84">
        <f t="shared" si="4"/>
        <v>-8.0334318459017881E-2</v>
      </c>
      <c r="T54" s="12"/>
    </row>
    <row r="55" spans="2:20" x14ac:dyDescent="0.35">
      <c r="B55" s="9" t="str">
        <f t="shared" si="1"/>
        <v>Claims between 0.01 and 490, RS 2.5-3.5</v>
      </c>
      <c r="D55" s="10">
        <f t="shared" si="2"/>
        <v>5556.3799999999901</v>
      </c>
      <c r="F55" s="11">
        <f t="shared" si="3"/>
        <v>161624.19867704896</v>
      </c>
      <c r="H55" s="11">
        <v>3014687.9842238682</v>
      </c>
      <c r="J55" s="11">
        <v>1314054.8605376566</v>
      </c>
      <c r="L55" s="11">
        <v>0</v>
      </c>
      <c r="N55" s="84">
        <f t="shared" si="4"/>
        <v>-0.38227195248442963</v>
      </c>
      <c r="T55" s="12"/>
    </row>
    <row r="56" spans="2:20" x14ac:dyDescent="0.35">
      <c r="B56" s="9" t="str">
        <f t="shared" si="1"/>
        <v>Claims between 0.01 and 490, RS 3.5-4.5</v>
      </c>
      <c r="D56" s="10">
        <f t="shared" si="2"/>
        <v>3327.9600000000041</v>
      </c>
      <c r="F56" s="11">
        <f t="shared" si="3"/>
        <v>90635.111799326769</v>
      </c>
      <c r="H56" s="11">
        <v>1861226.6041756549</v>
      </c>
      <c r="J56" s="11">
        <v>1602912.1427461363</v>
      </c>
      <c r="L56" s="11">
        <v>0</v>
      </c>
      <c r="N56" s="84">
        <f t="shared" si="4"/>
        <v>-0.8125163414030413</v>
      </c>
      <c r="T56" s="12"/>
    </row>
    <row r="57" spans="2:20" x14ac:dyDescent="0.35">
      <c r="B57" s="9" t="str">
        <f t="shared" si="1"/>
        <v>Claims between 0.01 and 490, RS 4.5+</v>
      </c>
      <c r="D57" s="10">
        <f t="shared" si="2"/>
        <v>4278.2000000000098</v>
      </c>
      <c r="F57" s="11">
        <f t="shared" si="3"/>
        <v>121743.83909974452</v>
      </c>
      <c r="H57" s="11">
        <v>2276228.5618628399</v>
      </c>
      <c r="J57" s="11">
        <v>7640625.2083048159</v>
      </c>
      <c r="L57" s="11">
        <v>0</v>
      </c>
      <c r="N57" s="84">
        <f t="shared" si="4"/>
        <v>-3.303218971583286</v>
      </c>
      <c r="T57" s="12"/>
    </row>
    <row r="58" spans="2:20" x14ac:dyDescent="0.35">
      <c r="B58" s="9" t="str">
        <f t="shared" si="1"/>
        <v>Claims between 490 and 1,400, RS 0-0.5</v>
      </c>
      <c r="D58" s="10">
        <f t="shared" si="2"/>
        <v>360407.6899998656</v>
      </c>
      <c r="F58" s="11">
        <f t="shared" si="3"/>
        <v>32165176.088757467</v>
      </c>
      <c r="H58" s="11">
        <v>156227585.87127963</v>
      </c>
      <c r="J58" s="11">
        <v>-115950081.70308323</v>
      </c>
      <c r="L58" s="11">
        <v>0</v>
      </c>
      <c r="N58" s="84">
        <f t="shared" si="4"/>
        <v>0.94807365143488231</v>
      </c>
      <c r="T58" s="12"/>
    </row>
    <row r="59" spans="2:20" x14ac:dyDescent="0.35">
      <c r="B59" s="9" t="str">
        <f t="shared" si="1"/>
        <v>Claims between 490 and 1,400, RS 0.5-1.5</v>
      </c>
      <c r="D59" s="10">
        <f t="shared" si="2"/>
        <v>46699.430000000648</v>
      </c>
      <c r="F59" s="11">
        <f t="shared" si="3"/>
        <v>5496206.1395212281</v>
      </c>
      <c r="H59" s="11">
        <v>23252938.238562103</v>
      </c>
      <c r="J59" s="11">
        <v>-7290418.7535224976</v>
      </c>
      <c r="L59" s="11">
        <v>0</v>
      </c>
      <c r="N59" s="84">
        <f t="shared" si="4"/>
        <v>0.54989286781137625</v>
      </c>
      <c r="T59" s="12"/>
    </row>
    <row r="60" spans="2:20" x14ac:dyDescent="0.35">
      <c r="B60" s="9" t="str">
        <f t="shared" si="1"/>
        <v>Claims between 490 and 1,400, RS 1.5-2.5</v>
      </c>
      <c r="D60" s="10">
        <f t="shared" si="2"/>
        <v>10809.500000000065</v>
      </c>
      <c r="F60" s="11">
        <f t="shared" si="3"/>
        <v>1393218.0791422154</v>
      </c>
      <c r="H60" s="11">
        <v>5502812.4474753048</v>
      </c>
      <c r="J60" s="11">
        <v>633614.30938037299</v>
      </c>
      <c r="L60" s="11">
        <v>0</v>
      </c>
      <c r="N60" s="84">
        <f t="shared" si="4"/>
        <v>0.13803918941674076</v>
      </c>
      <c r="T60" s="12"/>
    </row>
    <row r="61" spans="2:20" x14ac:dyDescent="0.35">
      <c r="B61" s="9" t="str">
        <f t="shared" si="1"/>
        <v>Claims between 490 and 1,400, RS 2.5-3.5</v>
      </c>
      <c r="D61" s="10">
        <f t="shared" si="2"/>
        <v>10456.009999999962</v>
      </c>
      <c r="F61" s="11">
        <f t="shared" si="3"/>
        <v>1082958.5846073269</v>
      </c>
      <c r="H61" s="11">
        <v>6151149.6356986742</v>
      </c>
      <c r="J61" s="11">
        <v>2367181.1676447862</v>
      </c>
      <c r="L61" s="11">
        <v>0</v>
      </c>
      <c r="N61" s="84">
        <f t="shared" si="4"/>
        <v>-0.2087776528121465</v>
      </c>
      <c r="T61" s="12"/>
    </row>
    <row r="62" spans="2:20" x14ac:dyDescent="0.35">
      <c r="B62" s="9" t="str">
        <f t="shared" si="1"/>
        <v>Claims between 490 and 1,400, RS 3.5-4.5</v>
      </c>
      <c r="D62" s="10">
        <f t="shared" si="2"/>
        <v>4433.8199999999661</v>
      </c>
      <c r="F62" s="11">
        <f t="shared" si="3"/>
        <v>468434.10315587948</v>
      </c>
      <c r="H62" s="11">
        <v>2763927.2803706434</v>
      </c>
      <c r="J62" s="11">
        <v>1947804.2191579028</v>
      </c>
      <c r="L62" s="11">
        <v>0</v>
      </c>
      <c r="N62" s="84">
        <f t="shared" si="4"/>
        <v>-0.53524205448836526</v>
      </c>
      <c r="T62" s="12"/>
    </row>
    <row r="63" spans="2:20" x14ac:dyDescent="0.35">
      <c r="B63" s="9" t="str">
        <f t="shared" si="1"/>
        <v>Claims between 490 and 1,400, RS 4.5+</v>
      </c>
      <c r="D63" s="10">
        <f t="shared" si="2"/>
        <v>6477.3999999999742</v>
      </c>
      <c r="F63" s="11">
        <f t="shared" si="3"/>
        <v>719028.33936387277</v>
      </c>
      <c r="H63" s="11">
        <v>3797182.1059662378</v>
      </c>
      <c r="J63" s="11">
        <v>11103700.034132145</v>
      </c>
      <c r="L63" s="11">
        <v>0</v>
      </c>
      <c r="N63" s="84">
        <f t="shared" si="4"/>
        <v>-2.7348363615354629</v>
      </c>
      <c r="T63" s="12"/>
    </row>
    <row r="64" spans="2:20" x14ac:dyDescent="0.35">
      <c r="B64" s="9" t="str">
        <f t="shared" si="1"/>
        <v>Claims between 1,400 and 2,900, RS 0-0.5</v>
      </c>
      <c r="D64" s="10">
        <f t="shared" si="2"/>
        <v>331853.93999989063</v>
      </c>
      <c r="F64" s="11">
        <f t="shared" si="3"/>
        <v>59974987.82679408</v>
      </c>
      <c r="H64" s="11">
        <v>160213693.53891835</v>
      </c>
      <c r="J64" s="11">
        <v>-114527914.42213731</v>
      </c>
      <c r="L64" s="11">
        <v>0</v>
      </c>
      <c r="N64" s="84">
        <f t="shared" si="4"/>
        <v>1.0891884357346893</v>
      </c>
      <c r="T64" s="12"/>
    </row>
    <row r="65" spans="2:20" x14ac:dyDescent="0.35">
      <c r="B65" s="9" t="str">
        <f t="shared" si="1"/>
        <v>Claims between 1,400 and 2,900, RS 0.5-1.5</v>
      </c>
      <c r="D65" s="10">
        <f t="shared" si="2"/>
        <v>61114.319999997781</v>
      </c>
      <c r="F65" s="11">
        <f t="shared" si="3"/>
        <v>13223718.457343584</v>
      </c>
      <c r="H65" s="11">
        <v>32456337.585427258</v>
      </c>
      <c r="J65" s="11">
        <v>-9443614.1649427619</v>
      </c>
      <c r="L65" s="11">
        <v>0</v>
      </c>
      <c r="N65" s="84">
        <f t="shared" si="4"/>
        <v>0.69839465289712388</v>
      </c>
      <c r="T65" s="12"/>
    </row>
    <row r="66" spans="2:20" x14ac:dyDescent="0.35">
      <c r="B66" s="9" t="str">
        <f t="shared" si="1"/>
        <v>Claims between 1,400 and 2,900, RS 1.5-2.5</v>
      </c>
      <c r="D66" s="10">
        <f t="shared" si="2"/>
        <v>15605.999999999985</v>
      </c>
      <c r="F66" s="11">
        <f t="shared" si="3"/>
        <v>3896370.2819625931</v>
      </c>
      <c r="H66" s="11">
        <v>8149652.8392606992</v>
      </c>
      <c r="J66" s="11">
        <v>757209.31339099852</v>
      </c>
      <c r="L66" s="11">
        <v>0</v>
      </c>
      <c r="N66" s="84">
        <f t="shared" si="4"/>
        <v>0.38518953266926709</v>
      </c>
      <c r="T66" s="12"/>
    </row>
    <row r="67" spans="2:20" x14ac:dyDescent="0.35">
      <c r="B67" s="9" t="str">
        <f t="shared" si="1"/>
        <v>Claims between 1,400 and 2,900, RS 2.5-3.5</v>
      </c>
      <c r="D67" s="10">
        <f t="shared" si="2"/>
        <v>18013.200000000015</v>
      </c>
      <c r="F67" s="11">
        <f t="shared" si="3"/>
        <v>3694145.8553562597</v>
      </c>
      <c r="H67" s="11">
        <v>11373128.869969267</v>
      </c>
      <c r="J67" s="11">
        <v>3793750.137756512</v>
      </c>
      <c r="L67" s="11">
        <v>0</v>
      </c>
      <c r="N67" s="84">
        <f t="shared" si="4"/>
        <v>-8.7578610546880618E-3</v>
      </c>
      <c r="T67" s="12"/>
    </row>
    <row r="68" spans="2:20" x14ac:dyDescent="0.35">
      <c r="B68" s="9" t="str">
        <f t="shared" si="1"/>
        <v>Claims between 1,400 and 2,900, RS 3.5-4.5</v>
      </c>
      <c r="D68" s="10">
        <f t="shared" si="2"/>
        <v>6242.3999999999487</v>
      </c>
      <c r="F68" s="11">
        <f t="shared" si="3"/>
        <v>1349909.9384019838</v>
      </c>
      <c r="H68" s="11">
        <v>3943512.5948760617</v>
      </c>
      <c r="J68" s="11">
        <v>2921363.9985107598</v>
      </c>
      <c r="L68" s="11">
        <v>0</v>
      </c>
      <c r="N68" s="84">
        <f t="shared" si="4"/>
        <v>-0.39849094488771736</v>
      </c>
      <c r="T68" s="12"/>
    </row>
    <row r="69" spans="2:20" x14ac:dyDescent="0.35">
      <c r="B69" s="9" t="str">
        <f t="shared" si="1"/>
        <v>Claims between 1,400 and 2,900, RS 4.5+</v>
      </c>
      <c r="D69" s="10">
        <f t="shared" si="2"/>
        <v>12724.499999999911</v>
      </c>
      <c r="F69" s="11">
        <f t="shared" si="3"/>
        <v>2864534.6879460355</v>
      </c>
      <c r="H69" s="11">
        <v>7909923.6836126195</v>
      </c>
      <c r="J69" s="11">
        <v>21571694.83713397</v>
      </c>
      <c r="L69" s="11">
        <v>0</v>
      </c>
      <c r="N69" s="84">
        <f t="shared" si="4"/>
        <v>-2.3650241010472053</v>
      </c>
      <c r="T69" s="12"/>
    </row>
    <row r="70" spans="2:20" x14ac:dyDescent="0.35">
      <c r="B70" s="9" t="str">
        <f t="shared" si="1"/>
        <v>Claims between 2,900 and 20,000, RS 0-0.5</v>
      </c>
      <c r="D70" s="10">
        <f t="shared" si="2"/>
        <v>231875.57999996282</v>
      </c>
      <c r="F70" s="11">
        <f t="shared" si="3"/>
        <v>117523929.27823594</v>
      </c>
      <c r="H70" s="11">
        <v>122967453.78681988</v>
      </c>
      <c r="J70" s="11">
        <v>-87101347.277936518</v>
      </c>
      <c r="L70" s="11">
        <v>0</v>
      </c>
      <c r="N70" s="84">
        <f t="shared" si="4"/>
        <v>1.6640604505881456</v>
      </c>
      <c r="T70" s="12"/>
    </row>
    <row r="71" spans="2:20" x14ac:dyDescent="0.35">
      <c r="B71" s="9" t="str">
        <f t="shared" si="1"/>
        <v>Claims between 2,900 and 20,000, RS 0.5-1.5</v>
      </c>
      <c r="D71" s="10">
        <f t="shared" si="2"/>
        <v>88207.560000004916</v>
      </c>
      <c r="F71" s="11">
        <f t="shared" si="3"/>
        <v>58718421.604204692</v>
      </c>
      <c r="H71" s="11">
        <v>47834321.127022803</v>
      </c>
      <c r="J71" s="11">
        <v>-12536023.155007426</v>
      </c>
      <c r="L71" s="11">
        <v>0</v>
      </c>
      <c r="N71" s="84">
        <f t="shared" si="4"/>
        <v>1.489609198591902</v>
      </c>
      <c r="T71" s="12"/>
    </row>
    <row r="72" spans="2:20" x14ac:dyDescent="0.35">
      <c r="B72" s="9" t="str">
        <f t="shared" si="1"/>
        <v>Claims between 2,900 and 20,000, RS 1.5-2.5</v>
      </c>
      <c r="D72" s="10">
        <f t="shared" si="2"/>
        <v>32577.780000001301</v>
      </c>
      <c r="F72" s="11">
        <f t="shared" si="3"/>
        <v>24258457.692658778</v>
      </c>
      <c r="H72" s="11">
        <v>17372989.300807182</v>
      </c>
      <c r="J72" s="11">
        <v>1805026.8771661576</v>
      </c>
      <c r="L72" s="11">
        <v>0</v>
      </c>
      <c r="N72" s="84">
        <f t="shared" si="4"/>
        <v>1.2924333531046033</v>
      </c>
      <c r="T72" s="12"/>
    </row>
    <row r="73" spans="2:20" x14ac:dyDescent="0.35">
      <c r="B73" s="9" t="str">
        <f t="shared" si="1"/>
        <v>Claims between 2,900 and 20,000, RS 2.5-3.5</v>
      </c>
      <c r="D73" s="10">
        <f t="shared" si="2"/>
        <v>42527.880000000347</v>
      </c>
      <c r="F73" s="11">
        <f t="shared" si="3"/>
        <v>28896652.741914544</v>
      </c>
      <c r="H73" s="11">
        <v>27698793.38944969</v>
      </c>
      <c r="J73" s="11">
        <v>8376692.2166069541</v>
      </c>
      <c r="L73" s="11">
        <v>0</v>
      </c>
      <c r="N73" s="84">
        <f t="shared" si="4"/>
        <v>0.74082506904880274</v>
      </c>
      <c r="T73" s="12"/>
    </row>
    <row r="74" spans="2:20" x14ac:dyDescent="0.35">
      <c r="B74" s="9" t="str">
        <f t="shared" si="1"/>
        <v>Claims between 2,900 and 20,000, RS 3.5-4.5</v>
      </c>
      <c r="D74" s="10">
        <f t="shared" si="2"/>
        <v>18969.960000000079</v>
      </c>
      <c r="F74" s="11">
        <f t="shared" si="3"/>
        <v>13932534.365263879</v>
      </c>
      <c r="H74" s="11">
        <v>12216475.847951792</v>
      </c>
      <c r="J74" s="11">
        <v>8985875.5379741639</v>
      </c>
      <c r="L74" s="11">
        <v>0</v>
      </c>
      <c r="N74" s="84">
        <f t="shared" si="4"/>
        <v>0.40491700625095328</v>
      </c>
      <c r="T74" s="12"/>
    </row>
    <row r="75" spans="2:20" x14ac:dyDescent="0.35">
      <c r="B75" s="9" t="str">
        <f t="shared" si="1"/>
        <v>Claims between 2,900 and 20,000, RS 4.5+</v>
      </c>
      <c r="D75" s="10">
        <f t="shared" si="2"/>
        <v>72025.259999999325</v>
      </c>
      <c r="F75" s="11">
        <f t="shared" si="3"/>
        <v>65916355.086441785</v>
      </c>
      <c r="H75" s="11">
        <v>46859828.345078282</v>
      </c>
      <c r="J75" s="11">
        <v>128058966.37204325</v>
      </c>
      <c r="L75" s="11">
        <v>0</v>
      </c>
      <c r="N75" s="84">
        <f t="shared" si="4"/>
        <v>-1.3261382612838433</v>
      </c>
      <c r="T75" s="12"/>
    </row>
    <row r="76" spans="2:20" x14ac:dyDescent="0.35">
      <c r="B76" s="9" t="str">
        <f t="shared" si="1"/>
        <v>Claims &gt;= 20,000, RS 0-0.5</v>
      </c>
      <c r="D76" s="10">
        <f t="shared" si="2"/>
        <v>13403.979999999963</v>
      </c>
      <c r="F76" s="11">
        <f t="shared" si="3"/>
        <v>45913088.206423</v>
      </c>
      <c r="H76" s="11">
        <v>7298056.549006138</v>
      </c>
      <c r="J76" s="11">
        <v>-5208117.0219172472</v>
      </c>
      <c r="L76" s="11">
        <v>16950390.612539563</v>
      </c>
      <c r="N76" s="84">
        <f t="shared" si="4"/>
        <v>4.6821800278396202</v>
      </c>
      <c r="T76" s="12"/>
    </row>
    <row r="77" spans="2:20" x14ac:dyDescent="0.35">
      <c r="B77" s="9" t="str">
        <f t="shared" si="1"/>
        <v>Claims &gt;= 20,000, RS 0.5-1.5</v>
      </c>
      <c r="D77" s="10">
        <f t="shared" si="2"/>
        <v>10555.079999999971</v>
      </c>
      <c r="F77" s="11">
        <f t="shared" si="3"/>
        <v>40080990.848326892</v>
      </c>
      <c r="H77" s="11">
        <v>5337483.9305384681</v>
      </c>
      <c r="J77" s="11">
        <v>-1072910.4367751577</v>
      </c>
      <c r="L77" s="11">
        <v>14498068.671171954</v>
      </c>
      <c r="N77" s="84">
        <f t="shared" si="4"/>
        <v>4.9940820358106333</v>
      </c>
      <c r="T77" s="12"/>
    </row>
    <row r="78" spans="2:20" x14ac:dyDescent="0.35">
      <c r="B78" s="9" t="str">
        <f t="shared" si="1"/>
        <v>Claims &gt;= 20,000, RS 1.5-2.5</v>
      </c>
      <c r="D78" s="10">
        <f t="shared" si="2"/>
        <v>6432.4599999999882</v>
      </c>
      <c r="F78" s="11">
        <f t="shared" si="3"/>
        <v>24156081.313250542</v>
      </c>
      <c r="H78" s="11">
        <v>3134269.3030174742</v>
      </c>
      <c r="J78" s="11">
        <v>867584.83129421039</v>
      </c>
      <c r="L78" s="11">
        <v>9277903.6686550137</v>
      </c>
      <c r="N78" s="84">
        <f t="shared" si="4"/>
        <v>4.4701305021278213</v>
      </c>
      <c r="T78" s="12"/>
    </row>
    <row r="79" spans="2:20" x14ac:dyDescent="0.35">
      <c r="B79" s="9" t="str">
        <f t="shared" si="1"/>
        <v>Claims &gt;= 20,000, RS 2.5-3.5</v>
      </c>
      <c r="D79" s="10">
        <f t="shared" si="2"/>
        <v>6800.5799999999863</v>
      </c>
      <c r="F79" s="11">
        <f t="shared" si="3"/>
        <v>26464251.789152056</v>
      </c>
      <c r="H79" s="11">
        <v>4104602.5866150348</v>
      </c>
      <c r="J79" s="11">
        <v>1748841.3870946092</v>
      </c>
      <c r="L79" s="11">
        <v>10673818.839853482</v>
      </c>
      <c r="N79" s="84">
        <f t="shared" si="4"/>
        <v>3.4209381458738788</v>
      </c>
      <c r="T79" s="12"/>
    </row>
    <row r="80" spans="2:20" x14ac:dyDescent="0.35">
      <c r="B80" s="9" t="str">
        <f t="shared" si="1"/>
        <v>Claims &gt;= 20,000, RS 3.5-4.5</v>
      </c>
      <c r="D80" s="10">
        <f t="shared" si="2"/>
        <v>5676.9999999999936</v>
      </c>
      <c r="F80" s="11">
        <f t="shared" si="3"/>
        <v>24768762.052890848</v>
      </c>
      <c r="H80" s="11">
        <v>3390765.3170565916</v>
      </c>
      <c r="J80" s="11">
        <v>2850598.4358099638</v>
      </c>
      <c r="L80" s="11">
        <v>11073305.187739715</v>
      </c>
      <c r="N80" s="84">
        <f t="shared" si="4"/>
        <v>3.1983512320325445</v>
      </c>
      <c r="T80" s="12"/>
    </row>
    <row r="81" spans="2:20" s="14" customFormat="1" x14ac:dyDescent="0.35">
      <c r="B81" s="109" t="str">
        <f t="shared" si="1"/>
        <v>Claims &gt;= 20,000, RS 4.5+</v>
      </c>
      <c r="C81" s="106"/>
      <c r="D81" s="107">
        <f t="shared" si="2"/>
        <v>93294.580000000453</v>
      </c>
      <c r="E81" s="106"/>
      <c r="F81" s="108">
        <f t="shared" si="3"/>
        <v>661002544.87958074</v>
      </c>
      <c r="G81" s="108"/>
      <c r="H81" s="108">
        <v>59514225.72283528</v>
      </c>
      <c r="I81" s="108"/>
      <c r="J81" s="108">
        <v>374697511.22954768</v>
      </c>
      <c r="K81" s="108"/>
      <c r="L81" s="108">
        <v>350367348.40632433</v>
      </c>
      <c r="M81" s="106"/>
      <c r="N81" s="115">
        <f t="shared" si="4"/>
        <v>-1.0764202000146481</v>
      </c>
      <c r="T81" s="15"/>
    </row>
    <row r="82" spans="2:20" s="14" customFormat="1" x14ac:dyDescent="0.35">
      <c r="B82" s="101" t="s">
        <v>1</v>
      </c>
      <c r="C82" s="102"/>
      <c r="D82" s="103">
        <f>SUM(D46:D81)</f>
        <v>2348918.7899994412</v>
      </c>
      <c r="E82" s="102"/>
      <c r="F82" s="104">
        <f>SUM(F46:F81)</f>
        <v>1267884978.9096913</v>
      </c>
      <c r="G82" s="104"/>
      <c r="H82" s="104">
        <f>SUM(H46:H81)</f>
        <v>1110183803.4245305</v>
      </c>
      <c r="I82" s="104"/>
      <c r="J82" s="104">
        <f>SUM(J46:J81)</f>
        <v>-6.5028667449951172E-5</v>
      </c>
      <c r="K82" s="104"/>
      <c r="L82" s="104">
        <f>SUM(L46:L81)</f>
        <v>412840835.38628405</v>
      </c>
      <c r="M82" s="102"/>
      <c r="N82" s="116">
        <f t="shared" si="4"/>
        <v>0.77018250571298086</v>
      </c>
      <c r="T82" s="15"/>
    </row>
    <row r="86" spans="2:20" x14ac:dyDescent="0.35">
      <c r="B86" s="9" t="s">
        <v>47</v>
      </c>
      <c r="D86" s="10">
        <f>SUM(D46,D47)</f>
        <v>439021.01999987022</v>
      </c>
      <c r="F86" s="11">
        <f>SUM(F46,F47)</f>
        <v>0</v>
      </c>
      <c r="H86" s="11">
        <f>SUM(H46,H47)</f>
        <v>171001607.77162996</v>
      </c>
      <c r="J86" s="11">
        <f>SUM(J46,J47)</f>
        <v>-126059851.78901546</v>
      </c>
      <c r="L86" s="11">
        <f>SUM(L46,L47)</f>
        <v>0</v>
      </c>
      <c r="N86" s="84">
        <f t="shared" ref="N86:N98" si="5">(F86-J86-L86)/H86</f>
        <v>0.73718518458239568</v>
      </c>
    </row>
    <row r="87" spans="2:20" x14ac:dyDescent="0.35">
      <c r="B87" t="s">
        <v>48</v>
      </c>
      <c r="D87" s="10">
        <f>SUM(D52,D53)</f>
        <v>376157.81999984774</v>
      </c>
      <c r="F87" s="11">
        <f>SUM(F52,F53)</f>
        <v>9273290.9712037444</v>
      </c>
      <c r="H87" s="11">
        <f>SUM(H52,H53)</f>
        <v>146094404.13656953</v>
      </c>
      <c r="J87" s="11">
        <f>SUM(J52,J53)</f>
        <v>-108103747.11606577</v>
      </c>
      <c r="L87" s="11">
        <f>SUM(L52,L53)</f>
        <v>0</v>
      </c>
      <c r="N87" s="84">
        <f t="shared" si="5"/>
        <v>0.80343281305658409</v>
      </c>
    </row>
    <row r="88" spans="2:20" x14ac:dyDescent="0.35">
      <c r="B88" t="s">
        <v>49</v>
      </c>
      <c r="D88" s="10">
        <f>SUM(D58,D59)</f>
        <v>407107.11999986623</v>
      </c>
      <c r="F88" s="11">
        <f>SUM(F58,F59)</f>
        <v>37661382.228278697</v>
      </c>
      <c r="H88" s="11">
        <f>SUM(H58,H59)</f>
        <v>179480524.10984173</v>
      </c>
      <c r="J88" s="11">
        <f>SUM(J58,J59)</f>
        <v>-123240500.45660573</v>
      </c>
      <c r="L88" s="11">
        <f>SUM(L58,L59)</f>
        <v>0</v>
      </c>
      <c r="N88" s="84">
        <f t="shared" si="5"/>
        <v>0.89648658807354931</v>
      </c>
    </row>
    <row r="89" spans="2:20" x14ac:dyDescent="0.35">
      <c r="B89" t="s">
        <v>50</v>
      </c>
      <c r="D89" s="10">
        <f>SUM(D64,D65)</f>
        <v>392968.25999988843</v>
      </c>
      <c r="F89" s="11">
        <f>SUM(F64,F65)</f>
        <v>73198706.284137666</v>
      </c>
      <c r="H89" s="11">
        <f>SUM(H64,H65)</f>
        <v>192670031.1243456</v>
      </c>
      <c r="J89" s="11">
        <f>SUM(J64,J65)</f>
        <v>-123971528.58708006</v>
      </c>
      <c r="L89" s="11">
        <f>SUM(L64,L65)</f>
        <v>0</v>
      </c>
      <c r="N89" s="84">
        <f t="shared" si="5"/>
        <v>1.0233570510193555</v>
      </c>
    </row>
    <row r="90" spans="2:20" x14ac:dyDescent="0.35">
      <c r="B90" t="s">
        <v>51</v>
      </c>
      <c r="D90" s="10">
        <f>SUM(D70,D71)</f>
        <v>320083.13999996777</v>
      </c>
      <c r="F90" s="11">
        <f>SUM(F70,F71)</f>
        <v>176242350.88244063</v>
      </c>
      <c r="H90" s="11">
        <f>SUM(H70,H71)</f>
        <v>170801774.91384268</v>
      </c>
      <c r="J90" s="11">
        <f>SUM(J70,J71)</f>
        <v>-99637370.43294394</v>
      </c>
      <c r="L90" s="11">
        <f>SUM(L70,L71)</f>
        <v>0</v>
      </c>
      <c r="N90" s="84">
        <f t="shared" si="5"/>
        <v>1.6152040659679692</v>
      </c>
    </row>
    <row r="91" spans="2:20" x14ac:dyDescent="0.35">
      <c r="B91" t="s">
        <v>52</v>
      </c>
      <c r="D91" s="10">
        <f>SUM(D76,D77)</f>
        <v>23959.059999999932</v>
      </c>
      <c r="F91" s="11">
        <f>SUM(F76,F77)</f>
        <v>85994079.054749891</v>
      </c>
      <c r="H91" s="11">
        <f>SUM(H76,H77)</f>
        <v>12635540.479544606</v>
      </c>
      <c r="J91" s="11">
        <f>SUM(J76,J77)</f>
        <v>-6281027.4586924054</v>
      </c>
      <c r="L91" s="11">
        <f>SUM(L76,L77)</f>
        <v>31448459.283711515</v>
      </c>
      <c r="N91" s="84">
        <f t="shared" si="5"/>
        <v>4.8139331537263228</v>
      </c>
    </row>
    <row r="93" spans="2:20" x14ac:dyDescent="0.35">
      <c r="B93" s="9" t="s">
        <v>53</v>
      </c>
      <c r="D93" s="10">
        <f>SUM(D48:D51)</f>
        <v>5242.6999999999898</v>
      </c>
      <c r="F93" s="11">
        <f>SUM(F48:F51)</f>
        <v>0</v>
      </c>
      <c r="H93" s="11">
        <f>SUM(H48:H51)</f>
        <v>2403270.5457983031</v>
      </c>
      <c r="J93" s="11">
        <f>SUM(J48:J51)</f>
        <v>3645832.9852438662</v>
      </c>
      <c r="L93" s="11">
        <f>SUM(L48:L51)</f>
        <v>0</v>
      </c>
      <c r="N93" s="84">
        <f t="shared" si="5"/>
        <v>-1.5170297791141183</v>
      </c>
    </row>
    <row r="94" spans="2:20" x14ac:dyDescent="0.35">
      <c r="B94" t="s">
        <v>54</v>
      </c>
      <c r="D94" s="10">
        <f>SUM(D54:D57)</f>
        <v>21311.33999999996</v>
      </c>
      <c r="F94" s="11">
        <f>SUM(F54:F57)</f>
        <v>650929.69779154216</v>
      </c>
      <c r="H94" s="11">
        <f>SUM(H54:H57)</f>
        <v>11213411.072917668</v>
      </c>
      <c r="J94" s="11">
        <f>SUM(J54:J57)</f>
        <v>11160777.950450016</v>
      </c>
      <c r="L94" s="11">
        <f>SUM(L54:L57)</f>
        <v>0</v>
      </c>
      <c r="N94" s="84">
        <f t="shared" si="5"/>
        <v>-0.93725702057258731</v>
      </c>
    </row>
    <row r="95" spans="2:20" x14ac:dyDescent="0.35">
      <c r="B95" t="s">
        <v>55</v>
      </c>
      <c r="D95" s="10">
        <f>SUM(D60:D63)</f>
        <v>32176.729999999967</v>
      </c>
      <c r="F95" s="11">
        <f>SUM(F60:F63)</f>
        <v>3663639.1062692944</v>
      </c>
      <c r="H95" s="11">
        <f>SUM(H60:H63)</f>
        <v>18215071.469510861</v>
      </c>
      <c r="J95" s="11">
        <f>SUM(J60:J63)</f>
        <v>16052299.730315208</v>
      </c>
      <c r="L95" s="11">
        <f>SUM(L60:L63)</f>
        <v>0</v>
      </c>
      <c r="N95" s="84">
        <f t="shared" si="5"/>
        <v>-0.68013241917730416</v>
      </c>
    </row>
    <row r="96" spans="2:20" x14ac:dyDescent="0.35">
      <c r="B96" t="s">
        <v>56</v>
      </c>
      <c r="D96" s="10">
        <f>SUM(D66:D69)</f>
        <v>52586.09999999986</v>
      </c>
      <c r="F96" s="11">
        <f>SUM(F66:F69)</f>
        <v>11804960.763666872</v>
      </c>
      <c r="H96" s="11">
        <f>SUM(H66:H69)</f>
        <v>31376217.987718649</v>
      </c>
      <c r="J96" s="11">
        <f>SUM(J66:J69)</f>
        <v>29044018.286792241</v>
      </c>
      <c r="L96" s="11">
        <f>SUM(L66:L69)</f>
        <v>0</v>
      </c>
      <c r="N96" s="84">
        <f t="shared" si="5"/>
        <v>-0.54943070353071621</v>
      </c>
    </row>
    <row r="97" spans="2:14" x14ac:dyDescent="0.35">
      <c r="B97" t="s">
        <v>57</v>
      </c>
      <c r="D97" s="10">
        <f>SUM(D72:D75)</f>
        <v>166100.88000000105</v>
      </c>
      <c r="F97" s="11">
        <f>SUM(F72:F75)</f>
        <v>133003999.88627899</v>
      </c>
      <c r="H97" s="11">
        <f>SUM(H72:H75)</f>
        <v>104148086.88328695</v>
      </c>
      <c r="J97" s="11">
        <f>SUM(J72:J75)</f>
        <v>147226561.00379053</v>
      </c>
      <c r="L97" s="11">
        <f>SUM(L72:L75)</f>
        <v>0</v>
      </c>
      <c r="N97" s="84">
        <f t="shared" si="5"/>
        <v>-0.13656094454668175</v>
      </c>
    </row>
    <row r="98" spans="2:14" x14ac:dyDescent="0.35">
      <c r="B98" t="s">
        <v>58</v>
      </c>
      <c r="D98" s="10">
        <f>SUM(D78:D81)</f>
        <v>112204.62000000042</v>
      </c>
      <c r="F98" s="11">
        <f>SUM(F78:F81)</f>
        <v>736391640.0348742</v>
      </c>
      <c r="H98" s="11">
        <f>SUM(H78:H81)</f>
        <v>70143862.929524377</v>
      </c>
      <c r="J98" s="11">
        <f>SUM(J78:J81)</f>
        <v>380164535.88374645</v>
      </c>
      <c r="L98" s="11">
        <f>SUM(L78:L81)</f>
        <v>381392376.10257256</v>
      </c>
      <c r="N98" s="84">
        <f t="shared" si="5"/>
        <v>-0.35876655348635561</v>
      </c>
    </row>
  </sheetData>
  <mergeCells count="2">
    <mergeCell ref="F3:L3"/>
    <mergeCell ref="F44:L44"/>
  </mergeCells>
  <printOptions horizontalCentered="1"/>
  <pageMargins left="0.45" right="0.45" top="0.5" bottom="0.75" header="0.3" footer="0.3"/>
  <pageSetup scale="49" orientation="portrait" r:id="rId1"/>
  <headerFooter scaleWithDoc="0" alignWithMargins="0">
    <oddFooter>&amp;L&amp;8&amp;D   &amp;T   &amp;Z&amp;F:  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Z106"/>
  <sheetViews>
    <sheetView tabSelected="1" view="pageBreakPreview" topLeftCell="C33" zoomScale="85" zoomScaleNormal="85" zoomScaleSheetLayoutView="85" workbookViewId="0">
      <selection activeCell="I104" sqref="I104"/>
    </sheetView>
  </sheetViews>
  <sheetFormatPr defaultRowHeight="14.5" x14ac:dyDescent="0.35"/>
  <cols>
    <col min="1" max="1" width="5.54296875" customWidth="1"/>
    <col min="3" max="3" width="41.6328125" customWidth="1"/>
    <col min="4" max="4" width="29.54296875" style="20" hidden="1" customWidth="1"/>
    <col min="5" max="5" width="10.90625" style="20" hidden="1" customWidth="1"/>
    <col min="6" max="6" width="16" style="20" bestFit="1" customWidth="1"/>
    <col min="7" max="7" width="10.54296875" style="20" customWidth="1"/>
    <col min="8" max="8" width="17.453125" style="20" customWidth="1"/>
    <col min="9" max="9" width="13.08984375" style="20" customWidth="1"/>
    <col min="10" max="10" width="15.81640625" style="20" bestFit="1" customWidth="1"/>
    <col min="11" max="11" width="10.08984375" style="20" customWidth="1"/>
    <col min="12" max="12" width="16.36328125" style="20" bestFit="1" customWidth="1"/>
    <col min="13" max="13" width="16" style="20" customWidth="1"/>
    <col min="14" max="14" width="10.6328125" style="20" customWidth="1"/>
    <col min="15" max="15" width="12.36328125" style="20" customWidth="1"/>
    <col min="16" max="16" width="6.81640625" style="20" bestFit="1" customWidth="1"/>
    <col min="17" max="17" width="8.90625" style="20"/>
    <col min="18" max="18" width="8.90625" style="20" customWidth="1"/>
    <col min="19" max="26" width="8.90625" style="20"/>
  </cols>
  <sheetData>
    <row r="2" spans="2:16" x14ac:dyDescent="0.35">
      <c r="B2" s="16" t="s">
        <v>59</v>
      </c>
      <c r="C2" s="17"/>
      <c r="D2" s="18"/>
      <c r="E2" s="18"/>
      <c r="F2" s="18"/>
      <c r="G2" s="19"/>
      <c r="H2" s="18"/>
      <c r="I2" s="18"/>
      <c r="J2" s="18"/>
      <c r="K2" s="19"/>
      <c r="L2" s="18"/>
      <c r="M2" s="18"/>
      <c r="N2" s="18"/>
      <c r="O2" s="18"/>
    </row>
    <row r="3" spans="2:16" x14ac:dyDescent="0.35">
      <c r="B3" s="17"/>
      <c r="C3" s="17"/>
      <c r="D3" s="18"/>
      <c r="E3" s="18"/>
      <c r="F3" s="21"/>
      <c r="G3" s="22" t="s">
        <v>60</v>
      </c>
      <c r="H3" s="23"/>
      <c r="I3" s="23"/>
      <c r="J3" s="23"/>
      <c r="K3" s="24" t="s">
        <v>61</v>
      </c>
      <c r="L3" s="23"/>
      <c r="M3" s="23"/>
      <c r="N3" s="18" t="s">
        <v>62</v>
      </c>
      <c r="O3" s="18"/>
    </row>
    <row r="4" spans="2:16" x14ac:dyDescent="0.35">
      <c r="B4" s="17"/>
      <c r="C4" s="17"/>
      <c r="D4" s="18"/>
      <c r="E4" s="25" t="s">
        <v>63</v>
      </c>
      <c r="F4" s="26" t="s">
        <v>4</v>
      </c>
      <c r="G4" s="26" t="s">
        <v>64</v>
      </c>
      <c r="H4" s="27" t="s">
        <v>5</v>
      </c>
      <c r="I4" s="117" t="s">
        <v>93</v>
      </c>
      <c r="J4" s="27" t="s">
        <v>6</v>
      </c>
      <c r="K4" s="28" t="s">
        <v>65</v>
      </c>
      <c r="L4" s="27" t="s">
        <v>66</v>
      </c>
      <c r="M4" s="29" t="s">
        <v>92</v>
      </c>
      <c r="N4" s="27" t="s">
        <v>65</v>
      </c>
      <c r="O4" s="27"/>
    </row>
    <row r="5" spans="2:16" x14ac:dyDescent="0.35">
      <c r="B5" s="17"/>
      <c r="C5" s="17" t="s">
        <v>67</v>
      </c>
      <c r="D5" s="18"/>
      <c r="E5" s="30">
        <f t="shared" ref="E5:E12" si="0">F5/$F$13</f>
        <v>0.68765860568549353</v>
      </c>
      <c r="F5" s="22">
        <f>SUM('Table 5 from L&amp;E'!D5:E6,'Table 5 from L&amp;E'!D11:E12,'Table 5 from L&amp;E'!D17:E18,'Table 5 from L&amp;E'!D23:E24)</f>
        <v>1615254.2199994724</v>
      </c>
      <c r="G5" s="31">
        <f>F5/12</f>
        <v>134604.51833328936</v>
      </c>
      <c r="H5" s="32">
        <f>SUM('Table 5 from L&amp;E'!E5:F6,'Table 5 from L&amp;E'!E11:F12,'Table 5 from L&amp;E'!E17:F18,'Table 5 from L&amp;E'!E23:F24)</f>
        <v>120133379.48362011</v>
      </c>
      <c r="I5" s="118">
        <f t="shared" ref="I5:I13" si="1">H5/F5</f>
        <v>74.374286100710108</v>
      </c>
      <c r="J5" s="32">
        <f>SUM('Table 5 from L&amp;E'!H5:H6,'Table 5 from L&amp;E'!H11:H12,'Table 5 from L&amp;E'!H17:H18,'Table 5 from L&amp;E'!H23:H24)</f>
        <v>930890646.18062913</v>
      </c>
      <c r="K5" s="33">
        <f>H5/J5</f>
        <v>0.12905208573801646</v>
      </c>
      <c r="L5" s="32">
        <f>SUM('Table 5 from L&amp;E'!J5:J6,'Table 5 from L&amp;E'!J11:J12,'Table 5 from L&amp;E'!J17:J18,'Table 5 from L&amp;E'!J23:J24)</f>
        <v>-630167075.73493981</v>
      </c>
      <c r="M5" s="23"/>
      <c r="N5" s="34">
        <f t="shared" ref="N5:N13" si="2">(H5-L5-M5)/J5</f>
        <v>0.80600278700509409</v>
      </c>
      <c r="O5" s="23"/>
    </row>
    <row r="6" spans="2:16" x14ac:dyDescent="0.35">
      <c r="B6" s="17"/>
      <c r="C6" s="17" t="s">
        <v>68</v>
      </c>
      <c r="D6" s="18"/>
      <c r="E6" s="30">
        <f t="shared" si="0"/>
        <v>0.13626828707860261</v>
      </c>
      <c r="F6" s="22">
        <f>SUM('Table 5 from L&amp;E'!D29:E30)</f>
        <v>320083.13999996777</v>
      </c>
      <c r="G6" s="31">
        <f t="shared" ref="G6:G12" si="3">F6/12</f>
        <v>26673.594999997313</v>
      </c>
      <c r="H6" s="32">
        <f>SUM('Table 5 from L&amp;E'!E29:F30)</f>
        <v>176242350.88244063</v>
      </c>
      <c r="I6" s="118">
        <f t="shared" si="1"/>
        <v>550.61429003245337</v>
      </c>
      <c r="J6" s="32">
        <f>SUM('Table 5 from L&amp;E'!H29:H30)</f>
        <v>232322926.54929149</v>
      </c>
      <c r="K6" s="33">
        <f t="shared" ref="K6:K20" si="4">H6/J6</f>
        <v>0.75860937833463304</v>
      </c>
      <c r="L6" s="32">
        <f>SUM('Table 5 from L&amp;E'!J29:J30)</f>
        <v>-132282368.09926857</v>
      </c>
      <c r="M6" s="23"/>
      <c r="N6" s="34">
        <f t="shared" si="2"/>
        <v>1.3279994512993107</v>
      </c>
      <c r="O6" s="23"/>
    </row>
    <row r="7" spans="2:16" x14ac:dyDescent="0.35">
      <c r="B7" s="17"/>
      <c r="C7" s="16" t="s">
        <v>69</v>
      </c>
      <c r="D7" s="35" t="s">
        <v>70</v>
      </c>
      <c r="E7" s="36">
        <f t="shared" si="0"/>
        <v>0.82392689276409614</v>
      </c>
      <c r="F7" s="37">
        <f>SUM('Table 5 from L&amp;E'!D5:E6,'Table 5 from L&amp;E'!D11:E12,'Table 5 from L&amp;E'!D17:E18,'Table 5 from L&amp;E'!D23:E24,'Table 5 from L&amp;E'!D29:E30)</f>
        <v>1935337.3599994401</v>
      </c>
      <c r="G7" s="31">
        <f t="shared" si="3"/>
        <v>161278.11333328669</v>
      </c>
      <c r="H7" s="38">
        <f>SUM('Table 5 from L&amp;E'!F5:F6,'Table 5 from L&amp;E'!F11:F12,'Table 5 from L&amp;E'!F17:F18,'Table 5 from L&amp;E'!F23:F24,'Table 5 from L&amp;E'!F29:F30)</f>
        <v>296375730.36606073</v>
      </c>
      <c r="I7" s="118">
        <f t="shared" si="1"/>
        <v>153.13905290710994</v>
      </c>
      <c r="J7" s="38">
        <f>SUM('Table 5 from L&amp;E'!H5:H6,'Table 5 from L&amp;E'!H11:H12,'Table 5 from L&amp;E'!H17:H18,'Table 5 from L&amp;E'!H23:H24,'Table 5 from L&amp;E'!H29:H30)</f>
        <v>1163213572.7299206</v>
      </c>
      <c r="K7" s="33">
        <f t="shared" si="4"/>
        <v>0.25479046781624376</v>
      </c>
      <c r="L7" s="38">
        <f>SUM('Table 5 from L&amp;E'!J5:J6,'Table 5 from L&amp;E'!J11:J12,'Table 5 from L&amp;E'!J17:J18,'Table 5 from L&amp;E'!J23:J24,'Table 5 from L&amp;E'!J29:J30)</f>
        <v>-762449443.83420837</v>
      </c>
      <c r="M7" s="39"/>
      <c r="N7" s="40">
        <f t="shared" si="2"/>
        <v>0.91025861374307671</v>
      </c>
      <c r="O7" s="41"/>
    </row>
    <row r="8" spans="2:16" x14ac:dyDescent="0.35">
      <c r="B8" s="17"/>
      <c r="C8" s="16" t="s">
        <v>71</v>
      </c>
      <c r="D8" s="18" t="s">
        <v>72</v>
      </c>
      <c r="E8" s="36">
        <f t="shared" si="0"/>
        <v>1.020003760964662E-2</v>
      </c>
      <c r="F8" s="37">
        <f>SUM('Table 5 from L&amp;E'!D35:E36)</f>
        <v>23959.059999999932</v>
      </c>
      <c r="G8" s="31">
        <f t="shared" si="3"/>
        <v>1996.5883333333277</v>
      </c>
      <c r="H8" s="38">
        <f>SUM('Table 5 from L&amp;E'!F35:F36)</f>
        <v>85994079.054749891</v>
      </c>
      <c r="I8" s="118">
        <f t="shared" si="1"/>
        <v>3589.2092200090542</v>
      </c>
      <c r="J8" s="38">
        <f>SUM('Table 5 from L&amp;E'!H35:H36)</f>
        <v>18371076.851995803</v>
      </c>
      <c r="K8" s="33">
        <f t="shared" si="4"/>
        <v>4.6809492849847629</v>
      </c>
      <c r="L8" s="38">
        <f>SUM('Table 5 from L&amp;E'!J35:J36)</f>
        <v>-8609864.4041250534</v>
      </c>
      <c r="M8" s="39"/>
      <c r="N8" s="40">
        <f t="shared" si="2"/>
        <v>5.1496133961574131</v>
      </c>
    </row>
    <row r="9" spans="2:16" x14ac:dyDescent="0.35">
      <c r="B9" s="17"/>
      <c r="C9" s="17" t="s">
        <v>73</v>
      </c>
      <c r="D9" s="18"/>
      <c r="E9" s="30">
        <f t="shared" si="0"/>
        <v>4.7390684800995717E-2</v>
      </c>
      <c r="F9" s="22">
        <f>SUM('Table 5 from L&amp;E'!D7:E10,'Table 5 from L&amp;E'!D13:E16,'Table 5 from L&amp;E'!D19:E22,'Table 5 from L&amp;E'!D25:E28)</f>
        <v>111316.86999999978</v>
      </c>
      <c r="G9" s="31">
        <f t="shared" si="3"/>
        <v>9276.4058333333141</v>
      </c>
      <c r="H9" s="42">
        <f>SUM('Table 5 from L&amp;E'!F7:F10,'Table 5 from L&amp;E'!F13:F16,'Table 5 from L&amp;E'!F19:F22,'Table 5 from L&amp;E'!F25:F28)</f>
        <v>16119529.567727707</v>
      </c>
      <c r="I9" s="118">
        <f t="shared" si="1"/>
        <v>144.80760703860736</v>
      </c>
      <c r="J9" s="32">
        <f>SUM('Table 5 from L&amp;E'!H7:H10,'Table 5 from L&amp;E'!H13:H16,'Table 5 from L&amp;E'!H19:H22,'Table 5 from L&amp;E'!H25:H28)</f>
        <v>86798516.691688687</v>
      </c>
      <c r="K9" s="33">
        <f t="shared" si="4"/>
        <v>0.18571203958455684</v>
      </c>
      <c r="L9" s="32">
        <f>SUM('Table 5 from L&amp;E'!J7:J10,'Table 5 from L&amp;E'!J13:J16,'Table 5 from L&amp;E'!J19:J22,'Table 5 from L&amp;E'!J25:J28)</f>
        <v>75781333.562049747</v>
      </c>
      <c r="M9" s="43"/>
      <c r="N9" s="34">
        <f t="shared" si="2"/>
        <v>-0.68735971844130495</v>
      </c>
      <c r="O9" s="41"/>
    </row>
    <row r="10" spans="2:16" x14ac:dyDescent="0.35">
      <c r="B10" s="17"/>
      <c r="C10" s="17" t="s">
        <v>74</v>
      </c>
      <c r="D10" s="18"/>
      <c r="E10" s="30">
        <f t="shared" si="0"/>
        <v>7.0713760180717261E-2</v>
      </c>
      <c r="F10" s="22">
        <f>SUM('Table 5 from L&amp;E'!D31:E34)</f>
        <v>166100.88000000105</v>
      </c>
      <c r="G10" s="31">
        <f t="shared" si="3"/>
        <v>13841.740000000087</v>
      </c>
      <c r="H10" s="42">
        <f>SUM('Table 5 from L&amp;E'!F31:F34)</f>
        <v>133003999.88627899</v>
      </c>
      <c r="I10" s="118">
        <f t="shared" si="1"/>
        <v>800.7422952020371</v>
      </c>
      <c r="J10" s="32">
        <f>SUM('Table 5 from L&amp;E'!H31:H34)</f>
        <v>144053433.29875499</v>
      </c>
      <c r="K10" s="33">
        <f t="shared" si="4"/>
        <v>0.92329628555564947</v>
      </c>
      <c r="L10" s="32">
        <f>SUM('Table 5 from L&amp;E'!J31:J34)</f>
        <v>188297435.18244752</v>
      </c>
      <c r="M10" s="43"/>
      <c r="N10" s="34">
        <f t="shared" si="2"/>
        <v>-0.38383976021935201</v>
      </c>
      <c r="O10" s="41" t="s">
        <v>75</v>
      </c>
    </row>
    <row r="11" spans="2:16" x14ac:dyDescent="0.35">
      <c r="B11" s="17"/>
      <c r="C11" s="16" t="s">
        <v>76</v>
      </c>
      <c r="D11" s="35" t="s">
        <v>77</v>
      </c>
      <c r="E11" s="36">
        <f t="shared" si="0"/>
        <v>0.11810444498171298</v>
      </c>
      <c r="F11" s="37">
        <f>SUM('Table 5 from L&amp;E'!D7:E10,'Table 5 from L&amp;E'!D13:E16,'Table 5 from L&amp;E'!D19:E22,'Table 5 from L&amp;E'!D25:E28,'Table 5 from L&amp;E'!D31:E34)</f>
        <v>277417.75000000081</v>
      </c>
      <c r="G11" s="31">
        <f t="shared" si="3"/>
        <v>23118.145833333401</v>
      </c>
      <c r="H11" s="38">
        <f>SUM('Table 5 from L&amp;E'!F7:F10,'Table 5 from L&amp;E'!F13:F16,'Table 5 from L&amp;E'!F19:F22,'Table 5 from L&amp;E'!F25:F28,'Table 5 from L&amp;E'!F31:F34)</f>
        <v>149123529.45400667</v>
      </c>
      <c r="I11" s="118">
        <f t="shared" si="1"/>
        <v>537.54141346040842</v>
      </c>
      <c r="J11" s="38">
        <f>SUM('Table 5 from L&amp;E'!H7:H10,'Table 5 from L&amp;E'!H13:H16,'Table 5 from L&amp;E'!H19:H22,'Table 5 from L&amp;E'!H25:H28,'Table 5 from L&amp;E'!H31:H34)</f>
        <v>230851949.99044368</v>
      </c>
      <c r="K11" s="33">
        <f t="shared" si="4"/>
        <v>0.64597041289960844</v>
      </c>
      <c r="L11" s="38">
        <f>SUM('Table 5 from L&amp;E'!J7:J10,'Table 5 from L&amp;E'!J13:J16,'Table 5 from L&amp;E'!J19:J22,'Table 5 from L&amp;E'!J25:J28,'Table 5 from L&amp;E'!J31:J34)</f>
        <v>264078768.74449727</v>
      </c>
      <c r="M11" s="39"/>
      <c r="N11" s="40">
        <f t="shared" si="2"/>
        <v>-0.49796087620333845</v>
      </c>
      <c r="O11" s="44" t="s">
        <v>78</v>
      </c>
    </row>
    <row r="12" spans="2:16" x14ac:dyDescent="0.35">
      <c r="B12" s="17"/>
      <c r="C12" s="16" t="s">
        <v>79</v>
      </c>
      <c r="D12" s="35" t="s">
        <v>80</v>
      </c>
      <c r="E12" s="36">
        <f t="shared" si="0"/>
        <v>4.7768624644544268E-2</v>
      </c>
      <c r="F12" s="37">
        <f>SUM('Table 5 from L&amp;E'!D37:E40)</f>
        <v>112204.62000000042</v>
      </c>
      <c r="G12" s="31">
        <f t="shared" si="3"/>
        <v>9350.3850000000348</v>
      </c>
      <c r="H12" s="38">
        <f>SUM('Table 5 from L&amp;E'!F37:F40)</f>
        <v>736391640.0348742</v>
      </c>
      <c r="I12" s="119">
        <f t="shared" si="1"/>
        <v>6562.9351093998757</v>
      </c>
      <c r="J12" s="38">
        <f>SUM('Table 5 from L&amp;E'!H37:H40)</f>
        <v>103545400.35983267</v>
      </c>
      <c r="K12" s="45">
        <f t="shared" si="4"/>
        <v>7.1117754866544045</v>
      </c>
      <c r="L12" s="38">
        <f>SUM('Table 5 from L&amp;E'!J37:J40)</f>
        <v>506980539.49364418</v>
      </c>
      <c r="M12" s="39"/>
      <c r="N12" s="40">
        <f t="shared" si="2"/>
        <v>2.2155605149431934</v>
      </c>
      <c r="O12" s="46">
        <f>N12-N7</f>
        <v>1.3053019012001168</v>
      </c>
      <c r="P12" s="47"/>
    </row>
    <row r="13" spans="2:16" ht="17.399999999999999" customHeight="1" x14ac:dyDescent="0.35">
      <c r="B13" s="17"/>
      <c r="C13" s="48" t="s">
        <v>81</v>
      </c>
      <c r="D13" s="49"/>
      <c r="E13" s="50">
        <f>E15+E16</f>
        <v>1</v>
      </c>
      <c r="F13" s="51">
        <f>F15+F16</f>
        <v>2348918.7899994412</v>
      </c>
      <c r="G13" s="51">
        <f>G15+G16</f>
        <v>195743.23249995345</v>
      </c>
      <c r="H13" s="52">
        <f>H15+H16</f>
        <v>1267884978.9096916</v>
      </c>
      <c r="I13" s="118">
        <f t="shared" si="1"/>
        <v>539.77386715442515</v>
      </c>
      <c r="J13" s="53">
        <f t="shared" ref="J13:L13" si="5">J15+J16</f>
        <v>1515981999.9321928</v>
      </c>
      <c r="K13" s="54">
        <f t="shared" si="4"/>
        <v>0.83634566833010016</v>
      </c>
      <c r="L13" s="53">
        <f t="shared" si="5"/>
        <v>-1.9204616546630859E-4</v>
      </c>
      <c r="M13" s="55"/>
      <c r="N13" s="56">
        <f t="shared" si="2"/>
        <v>0.83634566833022672</v>
      </c>
      <c r="O13" s="57"/>
    </row>
    <row r="14" spans="2:16" x14ac:dyDescent="0.35">
      <c r="B14" s="17"/>
      <c r="C14" s="17"/>
      <c r="D14" s="18"/>
      <c r="E14" s="30"/>
      <c r="F14" s="22"/>
      <c r="G14" s="58"/>
      <c r="H14" s="32"/>
      <c r="I14" s="118"/>
      <c r="J14" s="32"/>
      <c r="K14" s="33"/>
      <c r="L14" s="32"/>
      <c r="M14" s="23"/>
      <c r="N14" s="18"/>
      <c r="O14" s="18"/>
    </row>
    <row r="15" spans="2:16" x14ac:dyDescent="0.35">
      <c r="B15" s="17"/>
      <c r="C15" s="59" t="s">
        <v>82</v>
      </c>
      <c r="D15" s="60" t="s">
        <v>83</v>
      </c>
      <c r="E15" s="61">
        <f>SUM(E7:E8)</f>
        <v>0.83412693037374275</v>
      </c>
      <c r="F15" s="62">
        <f>SUM(F7:F8)</f>
        <v>1959296.41999944</v>
      </c>
      <c r="G15" s="63">
        <f>F15/12</f>
        <v>163274.70166662001</v>
      </c>
      <c r="H15" s="42">
        <f>SUM(H7:H8)</f>
        <v>382369809.42081064</v>
      </c>
      <c r="I15" s="118">
        <f>H15/F15</f>
        <v>195.15669273816155</v>
      </c>
      <c r="J15" s="42">
        <f>SUM(J7:J8)</f>
        <v>1181584649.5819163</v>
      </c>
      <c r="K15" s="33">
        <f t="shared" si="4"/>
        <v>0.32360763112156687</v>
      </c>
      <c r="L15" s="42">
        <f>SUM(L7:L8)</f>
        <v>-771059308.23833346</v>
      </c>
      <c r="M15" s="64"/>
      <c r="N15" s="34">
        <f>(H15-L15-M15)/J15</f>
        <v>0.97617137973759682</v>
      </c>
      <c r="O15" s="25" t="s">
        <v>78</v>
      </c>
    </row>
    <row r="16" spans="2:16" x14ac:dyDescent="0.35">
      <c r="B16" s="17"/>
      <c r="C16" s="65" t="s">
        <v>84</v>
      </c>
      <c r="D16" s="66" t="s">
        <v>85</v>
      </c>
      <c r="E16" s="67">
        <f t="shared" ref="E16:L16" si="6">SUM(E11:E12)</f>
        <v>0.16587306962625725</v>
      </c>
      <c r="F16" s="68">
        <f t="shared" si="6"/>
        <v>389622.37000000122</v>
      </c>
      <c r="G16" s="69">
        <f>F16/12</f>
        <v>32468.530833333436</v>
      </c>
      <c r="H16" s="70">
        <f t="shared" si="6"/>
        <v>885515169.48888087</v>
      </c>
      <c r="I16" s="119">
        <f>H16/F16</f>
        <v>2272.7523819766257</v>
      </c>
      <c r="J16" s="70">
        <f t="shared" si="6"/>
        <v>334397350.35027635</v>
      </c>
      <c r="K16" s="45">
        <f t="shared" si="4"/>
        <v>2.6480926615037967</v>
      </c>
      <c r="L16" s="70">
        <f t="shared" si="6"/>
        <v>771059308.23814142</v>
      </c>
      <c r="M16" s="71"/>
      <c r="N16" s="72">
        <f>(H16-L16-M16)/J16</f>
        <v>0.3422750244009069</v>
      </c>
      <c r="O16" s="46">
        <f>N16-N15</f>
        <v>-0.63389635533668987</v>
      </c>
    </row>
    <row r="17" spans="2:16" x14ac:dyDescent="0.35">
      <c r="B17" s="17"/>
      <c r="C17" s="16" t="s">
        <v>81</v>
      </c>
      <c r="D17" s="35"/>
      <c r="E17" s="36">
        <f>E15+E16</f>
        <v>1</v>
      </c>
      <c r="F17" s="37">
        <f>F15+F16</f>
        <v>2348918.7899994412</v>
      </c>
      <c r="G17" s="73">
        <f>G15+G16</f>
        <v>195743.23249995345</v>
      </c>
      <c r="H17" s="52">
        <f>H15+H16</f>
        <v>1267884978.9096916</v>
      </c>
      <c r="I17" s="118">
        <f>H17/F17</f>
        <v>539.77386715442515</v>
      </c>
      <c r="J17" s="52">
        <f>J15+J16</f>
        <v>1515981999.9321928</v>
      </c>
      <c r="K17" s="54">
        <f>H17/J17</f>
        <v>0.83634566833010016</v>
      </c>
      <c r="L17" s="38">
        <f>L15+L16</f>
        <v>-1.9204616546630859E-4</v>
      </c>
      <c r="M17" s="39"/>
      <c r="N17" s="56">
        <f>(H17-L17-M17)/J17</f>
        <v>0.83634566833022672</v>
      </c>
      <c r="O17" s="40"/>
    </row>
    <row r="18" spans="2:16" x14ac:dyDescent="0.35">
      <c r="B18" s="17"/>
      <c r="C18" s="17"/>
      <c r="D18" s="18"/>
      <c r="E18" s="30"/>
      <c r="F18" s="22"/>
      <c r="G18" s="31"/>
      <c r="H18" s="32"/>
      <c r="I18" s="118"/>
      <c r="J18" s="32"/>
      <c r="K18" s="33"/>
      <c r="L18" s="32"/>
      <c r="M18" s="23"/>
      <c r="N18" s="18"/>
      <c r="O18" s="18"/>
    </row>
    <row r="19" spans="2:16" x14ac:dyDescent="0.35">
      <c r="B19" s="17"/>
      <c r="C19" s="59" t="s">
        <v>86</v>
      </c>
      <c r="D19" s="18" t="s">
        <v>87</v>
      </c>
      <c r="E19" s="30">
        <f>E5+E9</f>
        <v>0.73504929048648926</v>
      </c>
      <c r="F19" s="22">
        <f t="shared" ref="F19:L19" si="7">F5+F9</f>
        <v>1726571.0899994723</v>
      </c>
      <c r="G19" s="31">
        <f>F19/12</f>
        <v>143880.92416662269</v>
      </c>
      <c r="H19" s="32">
        <f t="shared" si="7"/>
        <v>136252909.05134782</v>
      </c>
      <c r="I19" s="118">
        <f>H19/F19</f>
        <v>78.915319409981237</v>
      </c>
      <c r="J19" s="32">
        <f t="shared" si="7"/>
        <v>1017689162.8723178</v>
      </c>
      <c r="K19" s="33">
        <f t="shared" si="4"/>
        <v>0.13388460251142764</v>
      </c>
      <c r="L19" s="32">
        <f t="shared" si="7"/>
        <v>-554385742.17289007</v>
      </c>
      <c r="M19" s="23"/>
      <c r="N19" s="41">
        <f>(H19-L19-M19)/J19</f>
        <v>0.67863418067161574</v>
      </c>
      <c r="O19" s="25" t="s">
        <v>78</v>
      </c>
    </row>
    <row r="20" spans="2:16" x14ac:dyDescent="0.35">
      <c r="B20" s="17"/>
      <c r="C20" s="65" t="s">
        <v>88</v>
      </c>
      <c r="D20" s="74" t="s">
        <v>89</v>
      </c>
      <c r="E20" s="75">
        <f>E8+E12+E6+E10</f>
        <v>0.26495070951351074</v>
      </c>
      <c r="F20" s="76">
        <f t="shared" ref="F20:L20" si="8">F8+F12+F6+F10</f>
        <v>622347.69999996922</v>
      </c>
      <c r="G20" s="77">
        <f>F20/12</f>
        <v>51862.308333330766</v>
      </c>
      <c r="H20" s="78">
        <f t="shared" si="8"/>
        <v>1131632069.8583436</v>
      </c>
      <c r="I20" s="119">
        <f>H20/F20</f>
        <v>1818.3277127213607</v>
      </c>
      <c r="J20" s="78">
        <f t="shared" si="8"/>
        <v>498292837.05987495</v>
      </c>
      <c r="K20" s="45">
        <f t="shared" si="4"/>
        <v>2.2710181357119659</v>
      </c>
      <c r="L20" s="78">
        <f t="shared" si="8"/>
        <v>554385742.17269814</v>
      </c>
      <c r="M20" s="79"/>
      <c r="N20" s="80">
        <f>(H20-L20-M20)/J20</f>
        <v>1.158447974270767</v>
      </c>
      <c r="O20" s="46">
        <f>N20-N19</f>
        <v>0.47981379359915122</v>
      </c>
    </row>
    <row r="21" spans="2:16" x14ac:dyDescent="0.35">
      <c r="B21" s="17"/>
      <c r="C21" s="16" t="s">
        <v>81</v>
      </c>
      <c r="D21" s="18"/>
      <c r="E21" s="36">
        <f>E19+E20</f>
        <v>1</v>
      </c>
      <c r="F21" s="37">
        <f>F19+F20</f>
        <v>2348918.7899994412</v>
      </c>
      <c r="G21" s="73">
        <f>G19+G20</f>
        <v>195743.23249995345</v>
      </c>
      <c r="H21" s="52">
        <f>H19+H20</f>
        <v>1267884978.9096913</v>
      </c>
      <c r="I21" s="118">
        <f>H21/F21</f>
        <v>539.77386715442515</v>
      </c>
      <c r="J21" s="52">
        <f>J19+J20</f>
        <v>1515981999.9321928</v>
      </c>
      <c r="K21" s="54">
        <f>H21/J21</f>
        <v>0.83634566833009993</v>
      </c>
      <c r="L21" s="38">
        <f>L19+L20</f>
        <v>-1.9192695617675781E-4</v>
      </c>
      <c r="M21" s="23"/>
      <c r="N21" s="56">
        <f>(H21-L21-M21)/J21</f>
        <v>0.83634566833022661</v>
      </c>
      <c r="O21" s="41"/>
    </row>
    <row r="22" spans="2:16" x14ac:dyDescent="0.35">
      <c r="B22" s="17"/>
      <c r="C22" s="17"/>
      <c r="D22" s="18"/>
      <c r="E22" s="30"/>
      <c r="F22" s="22"/>
      <c r="G22" s="31"/>
      <c r="H22" s="32"/>
      <c r="I22" s="32"/>
      <c r="J22" s="81"/>
      <c r="K22" s="33"/>
      <c r="L22" s="32"/>
      <c r="M22" s="23"/>
      <c r="N22" s="18"/>
      <c r="O22" s="18"/>
    </row>
    <row r="23" spans="2:16" x14ac:dyDescent="0.35">
      <c r="B23" s="16" t="s">
        <v>90</v>
      </c>
      <c r="C23" s="17"/>
      <c r="D23" s="18"/>
      <c r="E23" s="18"/>
      <c r="F23" s="22"/>
      <c r="G23" s="31"/>
      <c r="H23" s="23"/>
      <c r="I23" s="23"/>
      <c r="J23" s="23"/>
      <c r="K23" s="24" t="s">
        <v>61</v>
      </c>
      <c r="L23" s="23"/>
      <c r="M23" s="23"/>
      <c r="N23" s="18" t="s">
        <v>62</v>
      </c>
      <c r="O23" s="18"/>
    </row>
    <row r="24" spans="2:16" x14ac:dyDescent="0.35">
      <c r="B24" s="16"/>
      <c r="C24" s="17"/>
      <c r="D24" s="18"/>
      <c r="E24" s="25" t="s">
        <v>63</v>
      </c>
      <c r="F24" s="26" t="s">
        <v>4</v>
      </c>
      <c r="G24" s="82"/>
      <c r="H24" s="27" t="s">
        <v>5</v>
      </c>
      <c r="I24" s="27"/>
      <c r="J24" s="27" t="s">
        <v>6</v>
      </c>
      <c r="K24" s="28" t="s">
        <v>65</v>
      </c>
      <c r="L24" s="27" t="s">
        <v>66</v>
      </c>
      <c r="M24" s="27" t="s">
        <v>91</v>
      </c>
      <c r="N24" s="27" t="s">
        <v>65</v>
      </c>
      <c r="O24" s="25"/>
    </row>
    <row r="25" spans="2:16" x14ac:dyDescent="0.35">
      <c r="B25" s="16"/>
      <c r="C25" s="17" t="s">
        <v>67</v>
      </c>
      <c r="D25" s="18"/>
      <c r="E25" s="30">
        <f t="shared" ref="E25:E32" si="9">F25/$F$13</f>
        <v>0.68765860568549353</v>
      </c>
      <c r="F25" s="22">
        <f>SUM('Table 5 from L&amp;E'!D5:E6,'Table 5 from L&amp;E'!D11:E12,'Table 5 from L&amp;E'!D17:E18,'Table 5 from L&amp;E'!D23:E24)</f>
        <v>1615254.2199994724</v>
      </c>
      <c r="G25" s="31"/>
      <c r="H25" s="32">
        <f>SUM('Table 5 from L&amp;E'!E5:F6,'Table 5 from L&amp;E'!E11:F12,'Table 5 from L&amp;E'!E17:F18,'Table 5 from L&amp;E'!E23:F24)</f>
        <v>120133379.48362011</v>
      </c>
      <c r="I25" s="32"/>
      <c r="J25" s="32">
        <f>SUM('Table 5 from L&amp;E'!H86:H89)</f>
        <v>689246567.14238691</v>
      </c>
      <c r="K25" s="33">
        <f>H25/J25</f>
        <v>0.17429666712986697</v>
      </c>
      <c r="L25" s="32">
        <f>SUM('Table 5 from L&amp;E'!J86:J89)</f>
        <v>-481375627.94876701</v>
      </c>
      <c r="M25" s="23"/>
      <c r="N25" s="34">
        <f t="shared" ref="N25:N33" si="10">(H25-L25-M25)/J25</f>
        <v>0.87270511904940007</v>
      </c>
      <c r="O25" s="18"/>
    </row>
    <row r="26" spans="2:16" x14ac:dyDescent="0.35">
      <c r="B26" s="17"/>
      <c r="C26" s="17" t="s">
        <v>68</v>
      </c>
      <c r="D26" s="18"/>
      <c r="E26" s="30">
        <f t="shared" si="9"/>
        <v>0.13626828707860261</v>
      </c>
      <c r="F26" s="22">
        <f>SUM('Table 5 from L&amp;E'!D29:E30)</f>
        <v>320083.13999996777</v>
      </c>
      <c r="G26" s="31"/>
      <c r="H26" s="32">
        <f>SUM('Table 5 from L&amp;E'!E29:F30)</f>
        <v>176242350.88244063</v>
      </c>
      <c r="I26" s="32"/>
      <c r="J26" s="32">
        <f>SUM('Table 5 from L&amp;E'!H90)</f>
        <v>170801774.91384268</v>
      </c>
      <c r="K26" s="33">
        <f t="shared" ref="K26:K40" si="11">H26/J26</f>
        <v>1.0318531582668993</v>
      </c>
      <c r="L26" s="32">
        <f>SUM('Table 5 from L&amp;E'!J90)</f>
        <v>-99637370.43294394</v>
      </c>
      <c r="M26" s="23"/>
      <c r="N26" s="34">
        <f t="shared" si="10"/>
        <v>1.6152040659679692</v>
      </c>
      <c r="O26" s="18"/>
    </row>
    <row r="27" spans="2:16" x14ac:dyDescent="0.35">
      <c r="B27" s="17"/>
      <c r="C27" s="16" t="s">
        <v>69</v>
      </c>
      <c r="D27" s="35" t="s">
        <v>70</v>
      </c>
      <c r="E27" s="36">
        <f t="shared" si="9"/>
        <v>0.82392689276409625</v>
      </c>
      <c r="F27" s="37">
        <f>SUM('Table 5 from L&amp;E'!D86:D90)</f>
        <v>1935337.3599994404</v>
      </c>
      <c r="G27" s="31"/>
      <c r="H27" s="38">
        <f>SUM('Table 5 from L&amp;E'!F86:F90)</f>
        <v>296375730.36606073</v>
      </c>
      <c r="I27" s="38"/>
      <c r="J27" s="38">
        <f>SUM('Table 5 from L&amp;E'!H86:H90)</f>
        <v>860048342.05622959</v>
      </c>
      <c r="K27" s="33">
        <f t="shared" si="11"/>
        <v>0.34460357153584725</v>
      </c>
      <c r="L27" s="32">
        <f>SUM('Table 5 from L&amp;E'!J86:J90)</f>
        <v>-581012998.38171101</v>
      </c>
      <c r="M27" s="83"/>
      <c r="N27" s="40">
        <f t="shared" si="10"/>
        <v>1.0201621069928282</v>
      </c>
      <c r="O27" s="41"/>
    </row>
    <row r="28" spans="2:16" x14ac:dyDescent="0.35">
      <c r="B28" s="17"/>
      <c r="C28" s="16" t="s">
        <v>71</v>
      </c>
      <c r="D28" s="35" t="s">
        <v>72</v>
      </c>
      <c r="E28" s="36">
        <f t="shared" si="9"/>
        <v>1.020003760964662E-2</v>
      </c>
      <c r="F28" s="37">
        <f>'Table 5 from L&amp;E'!D91</f>
        <v>23959.059999999932</v>
      </c>
      <c r="G28" s="31"/>
      <c r="H28" s="39">
        <f>'Table 5 from L&amp;E'!F91</f>
        <v>85994079.054749891</v>
      </c>
      <c r="I28" s="39"/>
      <c r="J28" s="39">
        <f>'Table 5 from L&amp;E'!H91</f>
        <v>12635540.479544606</v>
      </c>
      <c r="K28" s="33">
        <f t="shared" si="11"/>
        <v>6.8057301699095332</v>
      </c>
      <c r="L28" s="32">
        <f>'Table 5 from L&amp;E'!J91</f>
        <v>-6281027.4586924054</v>
      </c>
      <c r="M28" s="39">
        <f>'Table 5 from L&amp;E'!L91</f>
        <v>31448459.283711515</v>
      </c>
      <c r="N28" s="40">
        <f t="shared" si="10"/>
        <v>4.8139331537263228</v>
      </c>
      <c r="P28" s="84"/>
    </row>
    <row r="29" spans="2:16" x14ac:dyDescent="0.35">
      <c r="B29" s="17"/>
      <c r="C29" s="17" t="s">
        <v>73</v>
      </c>
      <c r="D29" s="18"/>
      <c r="E29" s="30">
        <f t="shared" si="9"/>
        <v>4.7390684800995717E-2</v>
      </c>
      <c r="F29" s="22">
        <f>SUM('Table 5 from L&amp;E'!D7:E10,'Table 5 from L&amp;E'!D13:E16,'Table 5 from L&amp;E'!D19:E22,'Table 5 from L&amp;E'!D25:E28)</f>
        <v>111316.86999999978</v>
      </c>
      <c r="G29" s="31"/>
      <c r="H29" s="43">
        <f>SUM('Table 5 from L&amp;E'!F7:F10,'Table 5 from L&amp;E'!F13:F16,'Table 5 from L&amp;E'!F19:F22,'Table 5 from L&amp;E'!F25:F28)</f>
        <v>16119529.567727707</v>
      </c>
      <c r="I29" s="43"/>
      <c r="J29" s="43">
        <f>SUM('Table 5 from L&amp;E'!H93:H96)</f>
        <v>63207971.075945482</v>
      </c>
      <c r="K29" s="33">
        <f t="shared" si="11"/>
        <v>0.25502368282569632</v>
      </c>
      <c r="L29" s="32">
        <f>SUM('Table 5 from L&amp;E'!J93:J96)</f>
        <v>59902928.952801332</v>
      </c>
      <c r="M29" s="43"/>
      <c r="N29" s="34">
        <f t="shared" si="10"/>
        <v>-0.69268794172284232</v>
      </c>
      <c r="O29" s="41"/>
      <c r="P29" s="84"/>
    </row>
    <row r="30" spans="2:16" x14ac:dyDescent="0.35">
      <c r="B30" s="17"/>
      <c r="C30" s="17" t="s">
        <v>74</v>
      </c>
      <c r="D30" s="18"/>
      <c r="E30" s="30">
        <f t="shared" si="9"/>
        <v>7.0713760180717261E-2</v>
      </c>
      <c r="F30" s="22">
        <f>SUM('Table 5 from L&amp;E'!D31:E34)</f>
        <v>166100.88000000105</v>
      </c>
      <c r="G30" s="31"/>
      <c r="H30" s="43">
        <f>SUM('Table 5 from L&amp;E'!F31:F34)</f>
        <v>133003999.88627899</v>
      </c>
      <c r="I30" s="43"/>
      <c r="J30" s="43">
        <f>SUM('Table 5 from L&amp;E'!H97)</f>
        <v>104148086.88328695</v>
      </c>
      <c r="K30" s="33">
        <f t="shared" si="11"/>
        <v>1.2770661839936559</v>
      </c>
      <c r="L30" s="32">
        <f>SUM('Table 5 from L&amp;E'!J97)</f>
        <v>147226561.00379053</v>
      </c>
      <c r="M30" s="43"/>
      <c r="N30" s="34">
        <f t="shared" si="10"/>
        <v>-0.13656094454668175</v>
      </c>
      <c r="O30" s="41" t="s">
        <v>75</v>
      </c>
      <c r="P30" s="84"/>
    </row>
    <row r="31" spans="2:16" x14ac:dyDescent="0.35">
      <c r="B31" s="17"/>
      <c r="C31" s="16" t="s">
        <v>76</v>
      </c>
      <c r="D31" s="35" t="s">
        <v>77</v>
      </c>
      <c r="E31" s="36">
        <f t="shared" si="9"/>
        <v>0.11810444498171298</v>
      </c>
      <c r="F31" s="37">
        <f>SUM('Table 5 from L&amp;E'!D93:D97)</f>
        <v>277417.75000000081</v>
      </c>
      <c r="G31" s="31"/>
      <c r="H31" s="39">
        <f>SUM('Table 5 from L&amp;E'!F93:F97)</f>
        <v>149123529.4540067</v>
      </c>
      <c r="I31" s="39"/>
      <c r="J31" s="39">
        <f>SUM('Table 5 from L&amp;E'!H93:H97)</f>
        <v>167356057.95923245</v>
      </c>
      <c r="K31" s="33">
        <f t="shared" si="11"/>
        <v>0.89105546146607284</v>
      </c>
      <c r="L31" s="32">
        <f>SUM('Table 5 from L&amp;E'!J93:J97)</f>
        <v>207129489.95659184</v>
      </c>
      <c r="M31" s="39"/>
      <c r="N31" s="40">
        <f t="shared" si="10"/>
        <v>-0.34660209621282584</v>
      </c>
      <c r="O31" s="25" t="s">
        <v>78</v>
      </c>
    </row>
    <row r="32" spans="2:16" x14ac:dyDescent="0.35">
      <c r="B32" s="17"/>
      <c r="C32" s="16" t="s">
        <v>79</v>
      </c>
      <c r="D32" s="35" t="s">
        <v>80</v>
      </c>
      <c r="E32" s="36">
        <f t="shared" si="9"/>
        <v>4.7768624644544268E-2</v>
      </c>
      <c r="F32" s="37">
        <f>'Table 5 from L&amp;E'!D98</f>
        <v>112204.62000000042</v>
      </c>
      <c r="G32" s="31"/>
      <c r="H32" s="38">
        <f>'Table 5 from L&amp;E'!F98</f>
        <v>736391640.0348742</v>
      </c>
      <c r="I32" s="38"/>
      <c r="J32" s="38">
        <f>'Table 5 from L&amp;E'!H98</f>
        <v>70143862.929524377</v>
      </c>
      <c r="K32" s="45">
        <f t="shared" si="11"/>
        <v>10.498304616823695</v>
      </c>
      <c r="L32" s="32">
        <f>'Table 5 from L&amp;E'!J98</f>
        <v>380164535.88374645</v>
      </c>
      <c r="M32" s="39">
        <f>'Table 5 from L&amp;E'!L98</f>
        <v>381392376.10257256</v>
      </c>
      <c r="N32" s="40">
        <f t="shared" si="10"/>
        <v>-0.35876655348635561</v>
      </c>
      <c r="O32" s="85">
        <f>N32-N27</f>
        <v>-1.3789286604791837</v>
      </c>
      <c r="P32" s="47"/>
    </row>
    <row r="33" spans="2:18" x14ac:dyDescent="0.35">
      <c r="B33" s="17"/>
      <c r="C33" s="48" t="s">
        <v>81</v>
      </c>
      <c r="D33" s="86"/>
      <c r="E33" s="50">
        <f>E35+E36</f>
        <v>1</v>
      </c>
      <c r="F33" s="51">
        <f>F35+F36</f>
        <v>2348918.7899994412</v>
      </c>
      <c r="G33" s="51"/>
      <c r="H33" s="52">
        <f>H35+H36</f>
        <v>1267884978.9096916</v>
      </c>
      <c r="I33" s="52"/>
      <c r="J33" s="53">
        <f t="shared" ref="J33:L33" si="12">J35+J36</f>
        <v>1110183803.424531</v>
      </c>
      <c r="K33" s="54">
        <f t="shared" si="11"/>
        <v>1.1420496092617343</v>
      </c>
      <c r="L33" s="53">
        <f t="shared" si="12"/>
        <v>-6.5207481384277344E-5</v>
      </c>
      <c r="M33" s="53">
        <f>SUM(M27:M32)</f>
        <v>412840835.38628405</v>
      </c>
      <c r="N33" s="56">
        <f t="shared" si="10"/>
        <v>0.77018250571298075</v>
      </c>
      <c r="O33" s="40"/>
    </row>
    <row r="34" spans="2:18" x14ac:dyDescent="0.35">
      <c r="B34" s="17"/>
      <c r="C34" s="17"/>
      <c r="D34" s="18"/>
      <c r="E34" s="18"/>
      <c r="F34" s="22"/>
      <c r="G34" s="31"/>
      <c r="H34" s="23"/>
      <c r="I34" s="23"/>
      <c r="J34" s="23"/>
      <c r="K34" s="33"/>
      <c r="L34" s="23"/>
      <c r="M34" s="23"/>
      <c r="N34" s="18"/>
      <c r="O34" s="18"/>
    </row>
    <row r="35" spans="2:18" x14ac:dyDescent="0.35">
      <c r="B35" s="17"/>
      <c r="C35" s="59" t="s">
        <v>82</v>
      </c>
      <c r="D35" s="60" t="s">
        <v>83</v>
      </c>
      <c r="E35" s="61">
        <f>SUM(E27:E28)</f>
        <v>0.83412693037374286</v>
      </c>
      <c r="F35" s="62">
        <f>SUM(F27:F28)</f>
        <v>1959296.4199994402</v>
      </c>
      <c r="G35" s="63"/>
      <c r="H35" s="42">
        <f>SUM(H27:H28)</f>
        <v>382369809.42081064</v>
      </c>
      <c r="I35" s="42"/>
      <c r="J35" s="42">
        <f>SUM(J27:J28)</f>
        <v>872683882.53577423</v>
      </c>
      <c r="K35" s="33">
        <f t="shared" si="11"/>
        <v>0.43815385739650808</v>
      </c>
      <c r="L35" s="42">
        <f>SUM(L27:L28)</f>
        <v>-587294025.84040344</v>
      </c>
      <c r="M35" s="64">
        <f>SUM(M25:M31)</f>
        <v>31448459.283711515</v>
      </c>
      <c r="N35" s="34">
        <f>(H35-L35-M35)/J35</f>
        <v>1.0750919029824546</v>
      </c>
      <c r="O35" s="25" t="s">
        <v>78</v>
      </c>
    </row>
    <row r="36" spans="2:18" x14ac:dyDescent="0.35">
      <c r="B36" s="17"/>
      <c r="C36" s="65" t="s">
        <v>84</v>
      </c>
      <c r="D36" s="66" t="s">
        <v>85</v>
      </c>
      <c r="E36" s="67">
        <f t="shared" ref="E36:M36" si="13">SUM(E31:E32)</f>
        <v>0.16587306962625725</v>
      </c>
      <c r="F36" s="68">
        <f t="shared" si="13"/>
        <v>389622.37000000122</v>
      </c>
      <c r="G36" s="69"/>
      <c r="H36" s="70">
        <f t="shared" si="13"/>
        <v>885515169.48888087</v>
      </c>
      <c r="I36" s="70"/>
      <c r="J36" s="70">
        <f t="shared" si="13"/>
        <v>237499920.88875681</v>
      </c>
      <c r="K36" s="45">
        <f t="shared" si="11"/>
        <v>3.7284861661223441</v>
      </c>
      <c r="L36" s="70">
        <f t="shared" si="13"/>
        <v>587294025.84033823</v>
      </c>
      <c r="M36" s="71">
        <f t="shared" si="13"/>
        <v>381392376.10257256</v>
      </c>
      <c r="N36" s="72">
        <f>(H36-L36-M36)/J36</f>
        <v>-0.35019477961420753</v>
      </c>
      <c r="O36" s="46">
        <f>N36-N35</f>
        <v>-1.4252866825966621</v>
      </c>
    </row>
    <row r="37" spans="2:18" x14ac:dyDescent="0.35">
      <c r="B37" s="17"/>
      <c r="C37" s="16" t="s">
        <v>81</v>
      </c>
      <c r="D37" s="35"/>
      <c r="E37" s="36">
        <f>E35+E36</f>
        <v>1</v>
      </c>
      <c r="F37" s="37">
        <f>F35+F36</f>
        <v>2348918.7899994412</v>
      </c>
      <c r="G37" s="73"/>
      <c r="H37" s="87">
        <f>H35+H36</f>
        <v>1267884978.9096916</v>
      </c>
      <c r="I37" s="87"/>
      <c r="J37" s="87">
        <f>J35+J36</f>
        <v>1110183803.424531</v>
      </c>
      <c r="K37" s="54">
        <f>H37/J37</f>
        <v>1.1420496092617343</v>
      </c>
      <c r="L37" s="38">
        <f>L35+L36</f>
        <v>-6.5207481384277344E-5</v>
      </c>
      <c r="M37" s="39">
        <f>M35+M36</f>
        <v>412840835.38628405</v>
      </c>
      <c r="N37" s="57">
        <f>(H37-L37-M37)/J37</f>
        <v>0.77018250571298075</v>
      </c>
      <c r="O37" s="40"/>
    </row>
    <row r="38" spans="2:18" x14ac:dyDescent="0.35">
      <c r="B38" s="17"/>
      <c r="C38" s="17"/>
      <c r="D38" s="18"/>
      <c r="E38" s="30"/>
      <c r="F38" s="22"/>
      <c r="G38" s="31"/>
      <c r="H38" s="32"/>
      <c r="I38" s="32"/>
      <c r="J38" s="30"/>
      <c r="K38" s="33"/>
      <c r="L38" s="30"/>
      <c r="M38" s="23"/>
      <c r="N38" s="18"/>
      <c r="O38" s="18"/>
    </row>
    <row r="39" spans="2:18" x14ac:dyDescent="0.35">
      <c r="B39" s="17"/>
      <c r="C39" s="59" t="s">
        <v>86</v>
      </c>
      <c r="D39" s="18" t="s">
        <v>87</v>
      </c>
      <c r="E39" s="30">
        <f>E25+E29</f>
        <v>0.73504929048648926</v>
      </c>
      <c r="F39" s="22">
        <f t="shared" ref="F39:L39" si="14">F25+F29</f>
        <v>1726571.0899994723</v>
      </c>
      <c r="G39" s="31"/>
      <c r="H39" s="32">
        <f t="shared" si="14"/>
        <v>136252909.05134782</v>
      </c>
      <c r="I39" s="32"/>
      <c r="J39" s="32">
        <f t="shared" si="14"/>
        <v>752454538.21833241</v>
      </c>
      <c r="K39" s="33">
        <f t="shared" si="11"/>
        <v>0.18107792847388296</v>
      </c>
      <c r="L39" s="32">
        <f t="shared" si="14"/>
        <v>-421472698.99596566</v>
      </c>
      <c r="M39" s="23"/>
      <c r="N39" s="41">
        <f>(H39-L39-M39)/J39</f>
        <v>0.7412083783399066</v>
      </c>
      <c r="O39" s="25" t="s">
        <v>78</v>
      </c>
    </row>
    <row r="40" spans="2:18" x14ac:dyDescent="0.35">
      <c r="B40" s="17"/>
      <c r="C40" s="65" t="s">
        <v>88</v>
      </c>
      <c r="D40" s="74" t="s">
        <v>89</v>
      </c>
      <c r="E40" s="75">
        <f>E28+E32+E26+E30</f>
        <v>0.26495070951351074</v>
      </c>
      <c r="F40" s="76">
        <f t="shared" ref="F40:M40" si="15">F28+F32+F26+F30</f>
        <v>622347.69999996922</v>
      </c>
      <c r="G40" s="77"/>
      <c r="H40" s="78">
        <f t="shared" si="15"/>
        <v>1131632069.8583436</v>
      </c>
      <c r="I40" s="78"/>
      <c r="J40" s="78">
        <f t="shared" si="15"/>
        <v>357729265.20619863</v>
      </c>
      <c r="K40" s="45">
        <f t="shared" si="11"/>
        <v>3.1633757143298293</v>
      </c>
      <c r="L40" s="78">
        <f t="shared" si="15"/>
        <v>421472698.99590063</v>
      </c>
      <c r="M40" s="78">
        <f t="shared" si="15"/>
        <v>412840835.38628405</v>
      </c>
      <c r="N40" s="80">
        <f>(H40-L40-M40)/J40</f>
        <v>0.83112723613703121</v>
      </c>
      <c r="O40" s="46">
        <f>N40-N39</f>
        <v>8.9918857797124607E-2</v>
      </c>
    </row>
    <row r="41" spans="2:18" x14ac:dyDescent="0.35">
      <c r="B41" s="17"/>
      <c r="C41" s="16" t="s">
        <v>81</v>
      </c>
      <c r="D41" s="18"/>
      <c r="E41" s="36">
        <f>E39+E40</f>
        <v>1</v>
      </c>
      <c r="F41" s="37">
        <f>F39+F40</f>
        <v>2348918.7899994412</v>
      </c>
      <c r="G41" s="73"/>
      <c r="H41" s="87">
        <f>H39+H40</f>
        <v>1267884978.9096913</v>
      </c>
      <c r="I41" s="87"/>
      <c r="J41" s="87">
        <f>J39+J40</f>
        <v>1110183803.424531</v>
      </c>
      <c r="K41" s="54">
        <f>H41/J41</f>
        <v>1.142049609261734</v>
      </c>
      <c r="L41" s="38">
        <f>L39+L40</f>
        <v>-6.5028667449951172E-5</v>
      </c>
      <c r="M41" s="83">
        <f>M40+M39</f>
        <v>412840835.38628405</v>
      </c>
      <c r="N41" s="57">
        <f>(H41-L41-M41)/J41</f>
        <v>0.77018250571298053</v>
      </c>
      <c r="O41" s="41"/>
    </row>
    <row r="42" spans="2:18" x14ac:dyDescent="0.35">
      <c r="B42" s="17"/>
      <c r="C42" s="17"/>
      <c r="D42" s="18"/>
      <c r="E42" s="18"/>
      <c r="F42" s="19"/>
      <c r="G42" s="88"/>
      <c r="H42" s="23"/>
      <c r="I42" s="23"/>
      <c r="J42" s="30"/>
      <c r="K42" s="24" t="s">
        <v>61</v>
      </c>
      <c r="L42" s="30"/>
      <c r="M42" s="23"/>
      <c r="N42" s="18" t="s">
        <v>62</v>
      </c>
      <c r="O42" s="18"/>
    </row>
    <row r="43" spans="2:18" x14ac:dyDescent="0.35">
      <c r="B43" s="16" t="str">
        <f>"3) Claims-Based Method, Dampening factor of "&amp;R47</f>
        <v>3) Claims-Based Method, Dampening factor of 0.7755</v>
      </c>
      <c r="C43" s="17"/>
      <c r="D43" s="18"/>
      <c r="E43" s="18"/>
      <c r="F43" s="19"/>
      <c r="G43" s="88"/>
      <c r="H43" s="23"/>
      <c r="I43" s="23"/>
      <c r="J43" s="30"/>
      <c r="K43" s="24"/>
      <c r="L43" s="30"/>
      <c r="M43" s="23"/>
      <c r="N43" s="18"/>
      <c r="O43" s="18"/>
    </row>
    <row r="44" spans="2:18" x14ac:dyDescent="0.35">
      <c r="B44" s="120" t="s">
        <v>94</v>
      </c>
      <c r="C44" s="17"/>
      <c r="D44" s="18"/>
      <c r="E44" s="18"/>
      <c r="F44" s="19"/>
      <c r="G44" s="88"/>
      <c r="H44" s="23"/>
      <c r="I44" s="23"/>
      <c r="J44" s="30"/>
      <c r="K44" s="24"/>
      <c r="L44" s="30"/>
      <c r="M44" s="23"/>
      <c r="N44" s="18"/>
      <c r="O44" s="18"/>
    </row>
    <row r="45" spans="2:18" x14ac:dyDescent="0.35">
      <c r="B45" s="17"/>
      <c r="D45" s="18"/>
      <c r="E45" s="25" t="s">
        <v>63</v>
      </c>
      <c r="F45" s="26" t="s">
        <v>4</v>
      </c>
      <c r="G45" s="82"/>
      <c r="H45" s="27" t="s">
        <v>5</v>
      </c>
      <c r="I45" s="27"/>
      <c r="J45" s="27" t="s">
        <v>6</v>
      </c>
      <c r="K45" s="28" t="s">
        <v>65</v>
      </c>
      <c r="L45" s="27" t="s">
        <v>66</v>
      </c>
      <c r="M45" s="27" t="s">
        <v>91</v>
      </c>
      <c r="N45" s="27" t="s">
        <v>65</v>
      </c>
      <c r="O45" s="25"/>
    </row>
    <row r="46" spans="2:18" x14ac:dyDescent="0.35">
      <c r="B46" s="16"/>
      <c r="C46" s="17" t="s">
        <v>67</v>
      </c>
      <c r="D46" s="18"/>
      <c r="E46" s="30">
        <f t="shared" ref="E46:E53" si="16">F46/$F$13</f>
        <v>0.68765860568549353</v>
      </c>
      <c r="F46" s="22">
        <f t="shared" ref="F46:F53" si="17">F25</f>
        <v>1615254.2199994724</v>
      </c>
      <c r="G46" s="31"/>
      <c r="H46" s="32">
        <f t="shared" ref="H46:H53" si="18">H25</f>
        <v>120133379.48362011</v>
      </c>
      <c r="I46" s="32"/>
      <c r="J46" s="32">
        <f t="shared" ref="J46:J53" si="19">J25</f>
        <v>689246567.14238691</v>
      </c>
      <c r="K46" s="33">
        <f>H46/J46</f>
        <v>0.17429666712986697</v>
      </c>
      <c r="L46" s="32">
        <f t="shared" ref="L46:L53" si="20">L25*$R$47</f>
        <v>-373306799.47426879</v>
      </c>
      <c r="M46" s="32">
        <f t="shared" ref="M46:M53" si="21">M25</f>
        <v>0</v>
      </c>
      <c r="N46" s="41">
        <f t="shared" ref="N46:N54" si="22">(H46-L46-M46)/J46</f>
        <v>0.71591242159346491</v>
      </c>
      <c r="O46" s="18"/>
    </row>
    <row r="47" spans="2:18" x14ac:dyDescent="0.35">
      <c r="B47" s="17"/>
      <c r="C47" s="17" t="s">
        <v>68</v>
      </c>
      <c r="D47" s="18"/>
      <c r="E47" s="30">
        <f t="shared" si="16"/>
        <v>0.13626828707860261</v>
      </c>
      <c r="F47" s="22">
        <f t="shared" si="17"/>
        <v>320083.13999996777</v>
      </c>
      <c r="G47" s="31"/>
      <c r="H47" s="32">
        <f t="shared" si="18"/>
        <v>176242350.88244063</v>
      </c>
      <c r="I47" s="32"/>
      <c r="J47" s="32">
        <f t="shared" si="19"/>
        <v>170801774.91384268</v>
      </c>
      <c r="K47" s="33">
        <f t="shared" ref="K47:K61" si="23">H47/J47</f>
        <v>1.0318531582668993</v>
      </c>
      <c r="L47" s="32">
        <f t="shared" si="20"/>
        <v>-77268780.770748019</v>
      </c>
      <c r="M47" s="32">
        <f t="shared" si="21"/>
        <v>0</v>
      </c>
      <c r="N47" s="41">
        <f t="shared" si="22"/>
        <v>1.484241787189079</v>
      </c>
      <c r="O47" s="18"/>
      <c r="R47" s="18">
        <v>0.77549999999999997</v>
      </c>
    </row>
    <row r="48" spans="2:18" x14ac:dyDescent="0.35">
      <c r="B48" s="17"/>
      <c r="C48" s="16" t="s">
        <v>69</v>
      </c>
      <c r="D48" s="35" t="s">
        <v>70</v>
      </c>
      <c r="E48" s="36">
        <f t="shared" si="16"/>
        <v>0.82392689276409625</v>
      </c>
      <c r="F48" s="37">
        <f t="shared" si="17"/>
        <v>1935337.3599994404</v>
      </c>
      <c r="G48" s="31"/>
      <c r="H48" s="38">
        <f t="shared" si="18"/>
        <v>296375730.36606073</v>
      </c>
      <c r="I48" s="38"/>
      <c r="J48" s="38">
        <f t="shared" si="19"/>
        <v>860048342.05622959</v>
      </c>
      <c r="K48" s="33">
        <f t="shared" si="23"/>
        <v>0.34460357153584725</v>
      </c>
      <c r="L48" s="38">
        <f t="shared" si="20"/>
        <v>-450575580.24501687</v>
      </c>
      <c r="M48" s="38">
        <f t="shared" si="21"/>
        <v>0</v>
      </c>
      <c r="N48" s="40">
        <f t="shared" si="22"/>
        <v>0.86849921578273581</v>
      </c>
      <c r="O48" s="41"/>
      <c r="P48" s="84"/>
    </row>
    <row r="49" spans="2:16" x14ac:dyDescent="0.35">
      <c r="B49" s="17"/>
      <c r="C49" s="16" t="s">
        <v>71</v>
      </c>
      <c r="D49" s="35" t="s">
        <v>72</v>
      </c>
      <c r="E49" s="36">
        <f t="shared" si="16"/>
        <v>1.020003760964662E-2</v>
      </c>
      <c r="F49" s="37">
        <f t="shared" si="17"/>
        <v>23959.059999999932</v>
      </c>
      <c r="G49" s="31"/>
      <c r="H49" s="39">
        <f t="shared" si="18"/>
        <v>85994079.054749891</v>
      </c>
      <c r="I49" s="39"/>
      <c r="J49" s="39">
        <f t="shared" si="19"/>
        <v>12635540.479544606</v>
      </c>
      <c r="K49" s="33">
        <f t="shared" si="23"/>
        <v>6.8057301699095332</v>
      </c>
      <c r="L49" s="39">
        <f t="shared" si="20"/>
        <v>-4870936.7942159604</v>
      </c>
      <c r="M49" s="39">
        <f t="shared" si="21"/>
        <v>31448459.283711515</v>
      </c>
      <c r="N49" s="40">
        <f t="shared" si="22"/>
        <v>4.7023359753737859</v>
      </c>
      <c r="P49" s="84"/>
    </row>
    <row r="50" spans="2:16" x14ac:dyDescent="0.35">
      <c r="B50" s="17"/>
      <c r="C50" s="17" t="s">
        <v>73</v>
      </c>
      <c r="D50" s="35"/>
      <c r="E50" s="30">
        <f t="shared" si="16"/>
        <v>4.7390684800995717E-2</v>
      </c>
      <c r="F50" s="22">
        <f t="shared" si="17"/>
        <v>111316.86999999978</v>
      </c>
      <c r="G50" s="31"/>
      <c r="H50" s="43">
        <f t="shared" si="18"/>
        <v>16119529.567727707</v>
      </c>
      <c r="I50" s="43"/>
      <c r="J50" s="43">
        <f t="shared" si="19"/>
        <v>63207971.075945482</v>
      </c>
      <c r="K50" s="33">
        <f t="shared" si="23"/>
        <v>0.25502368282569632</v>
      </c>
      <c r="L50" s="43">
        <f t="shared" si="20"/>
        <v>46454721.402897432</v>
      </c>
      <c r="M50" s="43">
        <f t="shared" si="21"/>
        <v>0</v>
      </c>
      <c r="N50" s="41">
        <f t="shared" si="22"/>
        <v>-0.47992668201169536</v>
      </c>
      <c r="O50" s="41"/>
      <c r="P50" s="84"/>
    </row>
    <row r="51" spans="2:16" x14ac:dyDescent="0.35">
      <c r="B51" s="17"/>
      <c r="C51" s="17" t="s">
        <v>74</v>
      </c>
      <c r="D51" s="35"/>
      <c r="E51" s="30">
        <f t="shared" si="16"/>
        <v>7.0713760180717261E-2</v>
      </c>
      <c r="F51" s="22">
        <f t="shared" si="17"/>
        <v>166100.88000000105</v>
      </c>
      <c r="G51" s="31"/>
      <c r="H51" s="43">
        <f t="shared" si="18"/>
        <v>133003999.88627899</v>
      </c>
      <c r="I51" s="43"/>
      <c r="J51" s="43">
        <f t="shared" si="19"/>
        <v>104148086.88328695</v>
      </c>
      <c r="K51" s="33">
        <f t="shared" si="23"/>
        <v>1.2770661839936559</v>
      </c>
      <c r="L51" s="43">
        <f t="shared" si="20"/>
        <v>114174198.05843955</v>
      </c>
      <c r="M51" s="43">
        <f t="shared" si="21"/>
        <v>0</v>
      </c>
      <c r="N51" s="41">
        <f t="shared" si="22"/>
        <v>0.18079834581062407</v>
      </c>
      <c r="O51" s="41" t="s">
        <v>75</v>
      </c>
      <c r="P51" s="84"/>
    </row>
    <row r="52" spans="2:16" x14ac:dyDescent="0.35">
      <c r="B52" s="17"/>
      <c r="C52" s="16" t="s">
        <v>76</v>
      </c>
      <c r="D52" s="35" t="s">
        <v>77</v>
      </c>
      <c r="E52" s="36">
        <f t="shared" si="16"/>
        <v>0.11810444498171298</v>
      </c>
      <c r="F52" s="37">
        <f t="shared" si="17"/>
        <v>277417.75000000081</v>
      </c>
      <c r="G52" s="31"/>
      <c r="H52" s="39">
        <f t="shared" si="18"/>
        <v>149123529.4540067</v>
      </c>
      <c r="I52" s="39"/>
      <c r="J52" s="39">
        <f t="shared" si="19"/>
        <v>167356057.95923245</v>
      </c>
      <c r="K52" s="33">
        <f t="shared" si="23"/>
        <v>0.89105546146607284</v>
      </c>
      <c r="L52" s="39">
        <f t="shared" si="20"/>
        <v>160628919.46133697</v>
      </c>
      <c r="M52" s="39">
        <f t="shared" si="21"/>
        <v>0</v>
      </c>
      <c r="N52" s="40">
        <f t="shared" si="22"/>
        <v>-6.8747974513913054E-2</v>
      </c>
      <c r="O52" s="25" t="s">
        <v>78</v>
      </c>
      <c r="P52" s="84"/>
    </row>
    <row r="53" spans="2:16" x14ac:dyDescent="0.35">
      <c r="B53" s="17"/>
      <c r="C53" s="16" t="s">
        <v>79</v>
      </c>
      <c r="D53" s="35" t="s">
        <v>80</v>
      </c>
      <c r="E53" s="36">
        <f t="shared" si="16"/>
        <v>4.7768624644544268E-2</v>
      </c>
      <c r="F53" s="37">
        <f t="shared" si="17"/>
        <v>112204.62000000042</v>
      </c>
      <c r="G53" s="31"/>
      <c r="H53" s="38">
        <f t="shared" si="18"/>
        <v>736391640.0348742</v>
      </c>
      <c r="I53" s="38"/>
      <c r="J53" s="38">
        <f t="shared" si="19"/>
        <v>70143862.929524377</v>
      </c>
      <c r="K53" s="45">
        <f t="shared" si="23"/>
        <v>10.498304616823695</v>
      </c>
      <c r="L53" s="38">
        <f t="shared" si="20"/>
        <v>294817597.57784534</v>
      </c>
      <c r="M53" s="38">
        <f t="shared" si="21"/>
        <v>381392376.10257256</v>
      </c>
      <c r="N53" s="40">
        <f t="shared" si="22"/>
        <v>0.85797479410169664</v>
      </c>
      <c r="O53" s="85">
        <f>N53-N48</f>
        <v>-1.0524421681039176E-2</v>
      </c>
      <c r="P53" s="89"/>
    </row>
    <row r="54" spans="2:16" x14ac:dyDescent="0.35">
      <c r="B54" s="17"/>
      <c r="C54" s="48" t="s">
        <v>81</v>
      </c>
      <c r="D54" s="86"/>
      <c r="E54" s="50">
        <f>E56+E57</f>
        <v>1</v>
      </c>
      <c r="F54" s="51">
        <f>F56+F57</f>
        <v>2348918.7899994412</v>
      </c>
      <c r="G54" s="90"/>
      <c r="H54" s="52">
        <f>H56+H57</f>
        <v>1267884978.9096916</v>
      </c>
      <c r="I54" s="52"/>
      <c r="J54" s="53">
        <f t="shared" ref="J54:L54" si="24">J56+J57</f>
        <v>1110183803.424531</v>
      </c>
      <c r="K54" s="54">
        <f t="shared" si="23"/>
        <v>1.1420496092617343</v>
      </c>
      <c r="L54" s="53">
        <f t="shared" si="24"/>
        <v>-5.054473876953125E-5</v>
      </c>
      <c r="M54" s="53">
        <f>SUM(M48:M53)</f>
        <v>412840835.38628405</v>
      </c>
      <c r="N54" s="56">
        <f t="shared" si="22"/>
        <v>0.77018250571296765</v>
      </c>
      <c r="O54" s="40"/>
    </row>
    <row r="55" spans="2:16" x14ac:dyDescent="0.35">
      <c r="B55" s="17"/>
      <c r="C55" s="17"/>
      <c r="D55" s="18"/>
      <c r="E55" s="18"/>
      <c r="F55" s="22"/>
      <c r="G55" s="31"/>
      <c r="H55" s="23"/>
      <c r="I55" s="23"/>
      <c r="J55" s="23"/>
      <c r="K55" s="33"/>
      <c r="L55" s="23"/>
      <c r="M55" s="23"/>
      <c r="N55" s="18"/>
      <c r="O55" s="18"/>
    </row>
    <row r="56" spans="2:16" x14ac:dyDescent="0.35">
      <c r="B56" s="17"/>
      <c r="C56" s="59" t="s">
        <v>82</v>
      </c>
      <c r="D56" s="60" t="s">
        <v>83</v>
      </c>
      <c r="E56" s="61">
        <f>SUM(E48:E49)</f>
        <v>0.83412693037374286</v>
      </c>
      <c r="F56" s="62">
        <f>SUM(F48:F49)</f>
        <v>1959296.4199994402</v>
      </c>
      <c r="G56" s="63"/>
      <c r="H56" s="42">
        <f>SUM(H48:H49)</f>
        <v>382369809.42081064</v>
      </c>
      <c r="I56" s="42"/>
      <c r="J56" s="42">
        <f>SUM(J48:J49)</f>
        <v>872683882.53577423</v>
      </c>
      <c r="K56" s="33">
        <f t="shared" si="23"/>
        <v>0.43815385739650808</v>
      </c>
      <c r="L56" s="42">
        <f>SUM(L48:L49)</f>
        <v>-455446517.03923285</v>
      </c>
      <c r="M56" s="64">
        <f>SUM(M46:M51)</f>
        <v>31448459.283711515</v>
      </c>
      <c r="N56" s="34">
        <f>(H56-L56-M56)/J56</f>
        <v>0.92400912095827115</v>
      </c>
      <c r="O56" s="25" t="s">
        <v>78</v>
      </c>
    </row>
    <row r="57" spans="2:16" x14ac:dyDescent="0.35">
      <c r="B57" s="17"/>
      <c r="C57" s="65" t="s">
        <v>84</v>
      </c>
      <c r="D57" s="66" t="s">
        <v>85</v>
      </c>
      <c r="E57" s="67">
        <f t="shared" ref="E57:M57" si="25">SUM(E52:E53)</f>
        <v>0.16587306962625725</v>
      </c>
      <c r="F57" s="68">
        <f t="shared" si="25"/>
        <v>389622.37000000122</v>
      </c>
      <c r="G57" s="69"/>
      <c r="H57" s="70">
        <f t="shared" si="25"/>
        <v>885515169.48888087</v>
      </c>
      <c r="I57" s="70"/>
      <c r="J57" s="70">
        <f t="shared" si="25"/>
        <v>237499920.88875681</v>
      </c>
      <c r="K57" s="45">
        <f t="shared" si="23"/>
        <v>3.7284861661223441</v>
      </c>
      <c r="L57" s="70">
        <f t="shared" si="25"/>
        <v>455446517.03918231</v>
      </c>
      <c r="M57" s="71">
        <f t="shared" si="25"/>
        <v>381392376.10257256</v>
      </c>
      <c r="N57" s="72">
        <f>(H57-L57-M57)/J57</f>
        <v>0.20495281078399016</v>
      </c>
      <c r="O57" s="46">
        <f>N57-N56</f>
        <v>-0.71905631017428095</v>
      </c>
    </row>
    <row r="58" spans="2:16" x14ac:dyDescent="0.35">
      <c r="B58" s="17"/>
      <c r="C58" s="16" t="s">
        <v>81</v>
      </c>
      <c r="D58" s="35"/>
      <c r="E58" s="36">
        <f>E56+E57</f>
        <v>1</v>
      </c>
      <c r="F58" s="37">
        <f>F56+F57</f>
        <v>2348918.7899994412</v>
      </c>
      <c r="G58" s="73"/>
      <c r="H58" s="87">
        <f>H56+H57</f>
        <v>1267884978.9096916</v>
      </c>
      <c r="I58" s="87"/>
      <c r="J58" s="87">
        <f>J56+J57</f>
        <v>1110183803.424531</v>
      </c>
      <c r="K58" s="54">
        <f>H58/J58</f>
        <v>1.1420496092617343</v>
      </c>
      <c r="L58" s="38">
        <f>L56+L57</f>
        <v>-5.054473876953125E-5</v>
      </c>
      <c r="M58" s="39">
        <f>M56+M57</f>
        <v>412840835.38628405</v>
      </c>
      <c r="N58" s="57">
        <f>(H58-L58-M58)/J58</f>
        <v>0.77018250571296765</v>
      </c>
      <c r="O58" s="40"/>
    </row>
    <row r="59" spans="2:16" ht="15" thickBot="1" x14ac:dyDescent="0.4">
      <c r="B59" s="17"/>
      <c r="C59" s="17"/>
      <c r="D59" s="18"/>
      <c r="E59" s="30"/>
      <c r="F59" s="22"/>
      <c r="G59" s="31"/>
      <c r="H59" s="32"/>
      <c r="I59" s="32"/>
      <c r="J59" s="32"/>
      <c r="K59" s="33"/>
      <c r="L59" s="32"/>
      <c r="M59" s="30">
        <f>M53/M54</f>
        <v>0.92382425237976762</v>
      </c>
      <c r="N59" s="18"/>
      <c r="O59" s="18"/>
    </row>
    <row r="60" spans="2:16" x14ac:dyDescent="0.35">
      <c r="B60" s="17"/>
      <c r="C60" s="59" t="s">
        <v>86</v>
      </c>
      <c r="D60" s="18" t="s">
        <v>87</v>
      </c>
      <c r="E60" s="30">
        <f>E46+E50</f>
        <v>0.73504929048648926</v>
      </c>
      <c r="F60" s="22">
        <f t="shared" ref="F60:L60" si="26">F46+F50</f>
        <v>1726571.0899994723</v>
      </c>
      <c r="G60" s="31"/>
      <c r="H60" s="32">
        <f t="shared" si="26"/>
        <v>136252909.05134782</v>
      </c>
      <c r="I60" s="32"/>
      <c r="J60" s="32">
        <f t="shared" si="26"/>
        <v>752454538.21833241</v>
      </c>
      <c r="K60" s="33">
        <f t="shared" si="23"/>
        <v>0.18107792847388296</v>
      </c>
      <c r="L60" s="32">
        <f t="shared" si="26"/>
        <v>-326852078.07137138</v>
      </c>
      <c r="M60" s="23"/>
      <c r="N60" s="41">
        <f>(H60-L60-M60)/J60</f>
        <v>0.6154590923449843</v>
      </c>
      <c r="O60" s="91" t="s">
        <v>78</v>
      </c>
    </row>
    <row r="61" spans="2:16" x14ac:dyDescent="0.35">
      <c r="B61" s="17"/>
      <c r="C61" s="65" t="s">
        <v>88</v>
      </c>
      <c r="D61" s="18" t="s">
        <v>89</v>
      </c>
      <c r="E61" s="75">
        <f>E49+E53+E47+E51</f>
        <v>0.26495070951351074</v>
      </c>
      <c r="F61" s="76">
        <f t="shared" ref="F61:M61" si="27">F49+F53+F47+F51</f>
        <v>622347.69999996922</v>
      </c>
      <c r="G61" s="77"/>
      <c r="H61" s="78">
        <f t="shared" si="27"/>
        <v>1131632069.8583436</v>
      </c>
      <c r="I61" s="78"/>
      <c r="J61" s="78">
        <f t="shared" si="27"/>
        <v>357729265.20619863</v>
      </c>
      <c r="K61" s="45">
        <f t="shared" si="23"/>
        <v>3.1633757143298293</v>
      </c>
      <c r="L61" s="78">
        <f t="shared" si="27"/>
        <v>326852078.07132089</v>
      </c>
      <c r="M61" s="78">
        <f t="shared" si="27"/>
        <v>412840835.38628405</v>
      </c>
      <c r="N61" s="80">
        <f>(H61-L61-M61)/J61</f>
        <v>1.0956306752672893</v>
      </c>
      <c r="O61" s="92">
        <f>N61-N60</f>
        <v>0.480171582922305</v>
      </c>
    </row>
    <row r="62" spans="2:16" x14ac:dyDescent="0.35">
      <c r="B62" s="17"/>
      <c r="C62" s="16" t="s">
        <v>81</v>
      </c>
      <c r="D62" s="18"/>
      <c r="E62" s="36">
        <f>E60+E61</f>
        <v>1</v>
      </c>
      <c r="F62" s="37">
        <f>F60+F61</f>
        <v>2348918.7899994412</v>
      </c>
      <c r="G62" s="73"/>
      <c r="H62" s="87">
        <f>H60+H61</f>
        <v>1267884978.9096913</v>
      </c>
      <c r="I62" s="87"/>
      <c r="J62" s="87">
        <f>J60+J61</f>
        <v>1110183803.424531</v>
      </c>
      <c r="K62" s="54">
        <f>H62/J62</f>
        <v>1.142049609261734</v>
      </c>
      <c r="L62" s="38">
        <f>L60+L61</f>
        <v>-5.0485134124755859E-5</v>
      </c>
      <c r="M62" s="83">
        <f>M61+M60</f>
        <v>412840835.38628405</v>
      </c>
      <c r="N62" s="57">
        <f>(H62-L62-M62)/J62</f>
        <v>0.77018250571296742</v>
      </c>
      <c r="O62" s="41"/>
    </row>
    <row r="63" spans="2:16" x14ac:dyDescent="0.35">
      <c r="B63" s="17"/>
      <c r="C63" s="16"/>
      <c r="D63" s="18"/>
      <c r="E63" s="36"/>
      <c r="F63" s="37"/>
      <c r="G63" s="73"/>
      <c r="H63" s="87"/>
      <c r="I63" s="87"/>
      <c r="J63" s="87"/>
      <c r="K63" s="54"/>
      <c r="L63" s="38"/>
      <c r="M63" s="23"/>
      <c r="N63" s="57"/>
      <c r="O63" s="41"/>
    </row>
    <row r="64" spans="2:16" x14ac:dyDescent="0.35">
      <c r="B64" s="16" t="str">
        <f>"4) Risk Based Method, Dampening factor of "&amp;R69</f>
        <v>4) Risk Based Method, Dampening factor of 0.7485</v>
      </c>
      <c r="C64" s="16"/>
      <c r="D64" s="18"/>
      <c r="E64" s="36"/>
      <c r="F64" s="37"/>
      <c r="G64" s="73"/>
      <c r="H64" s="87"/>
      <c r="I64" s="87"/>
      <c r="J64" s="87"/>
      <c r="K64" s="93"/>
      <c r="L64" s="38"/>
      <c r="M64" s="23"/>
      <c r="N64" s="57"/>
      <c r="O64" s="41"/>
    </row>
    <row r="65" spans="2:18" x14ac:dyDescent="0.35">
      <c r="B65" s="120" t="s">
        <v>95</v>
      </c>
      <c r="C65" s="17"/>
      <c r="D65" s="18"/>
      <c r="F65" s="22"/>
      <c r="G65" s="31"/>
      <c r="H65" s="23"/>
      <c r="I65" s="23"/>
      <c r="J65" s="23"/>
      <c r="K65" s="24" t="s">
        <v>61</v>
      </c>
      <c r="L65" s="23"/>
      <c r="M65" s="23"/>
      <c r="N65" s="18" t="s">
        <v>62</v>
      </c>
      <c r="O65" s="18"/>
    </row>
    <row r="66" spans="2:18" x14ac:dyDescent="0.35">
      <c r="B66" s="17"/>
      <c r="C66" s="17"/>
      <c r="D66" s="18"/>
      <c r="E66" s="25" t="s">
        <v>63</v>
      </c>
      <c r="F66" s="26" t="s">
        <v>4</v>
      </c>
      <c r="G66" s="82"/>
      <c r="H66" s="27" t="s">
        <v>5</v>
      </c>
      <c r="I66" s="27"/>
      <c r="J66" s="27" t="s">
        <v>6</v>
      </c>
      <c r="K66" s="28" t="s">
        <v>65</v>
      </c>
      <c r="L66" s="27" t="s">
        <v>66</v>
      </c>
      <c r="M66" s="27" t="s">
        <v>91</v>
      </c>
      <c r="N66" s="27" t="s">
        <v>65</v>
      </c>
      <c r="O66" s="25"/>
    </row>
    <row r="67" spans="2:18" x14ac:dyDescent="0.35">
      <c r="B67" s="17"/>
      <c r="C67" s="17" t="s">
        <v>67</v>
      </c>
      <c r="D67" s="18"/>
      <c r="E67" s="30">
        <f>F67/$F$13</f>
        <v>0.68765860568549353</v>
      </c>
      <c r="F67" s="22">
        <f>F46</f>
        <v>1615254.2199994724</v>
      </c>
      <c r="G67" s="31"/>
      <c r="H67" s="32">
        <f t="shared" ref="H67:J69" si="28">H46</f>
        <v>120133379.48362011</v>
      </c>
      <c r="I67" s="32"/>
      <c r="J67" s="32">
        <f t="shared" si="28"/>
        <v>689246567.14238691</v>
      </c>
      <c r="K67" s="33">
        <f>H67/J67</f>
        <v>0.17429666712986697</v>
      </c>
      <c r="L67" s="32">
        <f t="shared" ref="L67:L74" si="29">L25*$R$69</f>
        <v>-360309657.51965213</v>
      </c>
      <c r="M67" s="32">
        <f t="shared" ref="M67:M74" si="30">M46</f>
        <v>0</v>
      </c>
      <c r="N67" s="41">
        <f t="shared" ref="N67:N75" si="31">(H67-L67-M67)/J67</f>
        <v>0.69705539339163758</v>
      </c>
      <c r="O67" s="18"/>
    </row>
    <row r="68" spans="2:18" x14ac:dyDescent="0.35">
      <c r="B68" s="17"/>
      <c r="C68" s="17" t="s">
        <v>68</v>
      </c>
      <c r="D68" s="18"/>
      <c r="E68" s="30">
        <f>F68/$F$13</f>
        <v>0.13626828707860261</v>
      </c>
      <c r="F68" s="22">
        <f>F47</f>
        <v>320083.13999996777</v>
      </c>
      <c r="G68" s="31"/>
      <c r="H68" s="32">
        <f t="shared" si="28"/>
        <v>176242350.88244063</v>
      </c>
      <c r="I68" s="32"/>
      <c r="J68" s="32">
        <f t="shared" si="28"/>
        <v>170801774.91384268</v>
      </c>
      <c r="K68" s="33">
        <f t="shared" ref="K68:K82" si="32">H68/J68</f>
        <v>1.0318531582668993</v>
      </c>
      <c r="L68" s="32">
        <f t="shared" si="29"/>
        <v>-74578571.76905854</v>
      </c>
      <c r="M68" s="32">
        <f t="shared" si="30"/>
        <v>0</v>
      </c>
      <c r="N68" s="41">
        <f t="shared" si="31"/>
        <v>1.4684913126811501</v>
      </c>
      <c r="O68" s="18"/>
    </row>
    <row r="69" spans="2:18" x14ac:dyDescent="0.35">
      <c r="B69" s="17"/>
      <c r="C69" s="16" t="s">
        <v>69</v>
      </c>
      <c r="D69" s="35" t="s">
        <v>70</v>
      </c>
      <c r="E69" s="36">
        <f>F69/$F$13</f>
        <v>0.82392689276409625</v>
      </c>
      <c r="F69" s="37">
        <f>F48</f>
        <v>1935337.3599994404</v>
      </c>
      <c r="G69" s="31"/>
      <c r="H69" s="38">
        <f t="shared" si="28"/>
        <v>296375730.36606073</v>
      </c>
      <c r="I69" s="38"/>
      <c r="J69" s="38">
        <f t="shared" si="28"/>
        <v>860048342.05622959</v>
      </c>
      <c r="K69" s="33">
        <f t="shared" si="32"/>
        <v>0.34460357153584725</v>
      </c>
      <c r="L69" s="38">
        <f t="shared" si="29"/>
        <v>-434888229.28871071</v>
      </c>
      <c r="M69" s="38">
        <f t="shared" si="30"/>
        <v>0</v>
      </c>
      <c r="N69" s="40">
        <f t="shared" si="31"/>
        <v>0.85025913532539743</v>
      </c>
      <c r="O69" s="41"/>
      <c r="R69" s="20">
        <v>0.74850000000000005</v>
      </c>
    </row>
    <row r="70" spans="2:18" x14ac:dyDescent="0.35">
      <c r="B70" s="17"/>
      <c r="C70" s="16" t="s">
        <v>71</v>
      </c>
      <c r="D70" s="35" t="s">
        <v>72</v>
      </c>
      <c r="E70" s="36">
        <f>F70/$F$13</f>
        <v>1.020003760964662E-2</v>
      </c>
      <c r="F70" s="37">
        <f t="shared" ref="F70:J74" si="33">F49</f>
        <v>23959.059999999932</v>
      </c>
      <c r="G70" s="31"/>
      <c r="H70" s="39">
        <f t="shared" si="33"/>
        <v>85994079.054749891</v>
      </c>
      <c r="I70" s="39"/>
      <c r="J70" s="39">
        <f t="shared" si="33"/>
        <v>12635540.479544606</v>
      </c>
      <c r="K70" s="33">
        <f t="shared" si="32"/>
        <v>6.8057301699095332</v>
      </c>
      <c r="L70" s="38">
        <f t="shared" si="29"/>
        <v>-4701349.0528312661</v>
      </c>
      <c r="M70" s="38">
        <f t="shared" si="30"/>
        <v>31448459.283711515</v>
      </c>
      <c r="N70" s="40">
        <f t="shared" si="31"/>
        <v>4.6889144884449721</v>
      </c>
      <c r="O70" s="41"/>
    </row>
    <row r="71" spans="2:18" x14ac:dyDescent="0.35">
      <c r="B71" s="17"/>
      <c r="C71" s="17" t="s">
        <v>73</v>
      </c>
      <c r="D71" s="35"/>
      <c r="E71" s="30">
        <f t="shared" ref="E71:E72" si="34">F71/$F$13</f>
        <v>4.7390684800995717E-2</v>
      </c>
      <c r="F71" s="22">
        <f t="shared" si="33"/>
        <v>111316.86999999978</v>
      </c>
      <c r="G71" s="31"/>
      <c r="H71" s="43">
        <f t="shared" si="33"/>
        <v>16119529.567727707</v>
      </c>
      <c r="I71" s="43"/>
      <c r="J71" s="43">
        <f t="shared" si="33"/>
        <v>63207971.075945482</v>
      </c>
      <c r="K71" s="33">
        <f t="shared" si="32"/>
        <v>0.25502368282569632</v>
      </c>
      <c r="L71" s="32">
        <f t="shared" si="29"/>
        <v>44837342.321171798</v>
      </c>
      <c r="M71" s="32">
        <f t="shared" si="30"/>
        <v>0</v>
      </c>
      <c r="N71" s="41">
        <f t="shared" si="31"/>
        <v>-0.45433846814888484</v>
      </c>
      <c r="O71" s="41"/>
    </row>
    <row r="72" spans="2:18" x14ac:dyDescent="0.35">
      <c r="B72" s="17"/>
      <c r="C72" s="17" t="s">
        <v>74</v>
      </c>
      <c r="D72" s="35"/>
      <c r="E72" s="30">
        <f t="shared" si="34"/>
        <v>7.0713760180717261E-2</v>
      </c>
      <c r="F72" s="22">
        <f t="shared" si="33"/>
        <v>166100.88000000105</v>
      </c>
      <c r="G72" s="31"/>
      <c r="H72" s="43">
        <f t="shared" si="33"/>
        <v>133003999.88627899</v>
      </c>
      <c r="I72" s="43"/>
      <c r="J72" s="43">
        <f t="shared" si="33"/>
        <v>104148086.88328695</v>
      </c>
      <c r="K72" s="33">
        <f t="shared" si="32"/>
        <v>1.2770661839936559</v>
      </c>
      <c r="L72" s="32">
        <f t="shared" si="29"/>
        <v>110199080.91133721</v>
      </c>
      <c r="M72" s="32">
        <f t="shared" si="30"/>
        <v>0</v>
      </c>
      <c r="N72" s="41">
        <f t="shared" si="31"/>
        <v>0.21896627828121315</v>
      </c>
      <c r="O72" s="41" t="s">
        <v>75</v>
      </c>
    </row>
    <row r="73" spans="2:18" x14ac:dyDescent="0.35">
      <c r="B73" s="17"/>
      <c r="C73" s="16" t="s">
        <v>76</v>
      </c>
      <c r="D73" s="18" t="s">
        <v>77</v>
      </c>
      <c r="E73" s="30">
        <f>F73/$F$13</f>
        <v>0.11810444498171298</v>
      </c>
      <c r="F73" s="22">
        <f t="shared" si="33"/>
        <v>277417.75000000081</v>
      </c>
      <c r="G73" s="31"/>
      <c r="H73" s="43">
        <f t="shared" si="33"/>
        <v>149123529.4540067</v>
      </c>
      <c r="I73" s="43"/>
      <c r="J73" s="43">
        <f t="shared" si="33"/>
        <v>167356057.95923245</v>
      </c>
      <c r="K73" s="33">
        <f t="shared" si="32"/>
        <v>0.89105546146607284</v>
      </c>
      <c r="L73" s="32">
        <f t="shared" si="29"/>
        <v>155036423.23250902</v>
      </c>
      <c r="M73" s="32">
        <f t="shared" si="30"/>
        <v>0</v>
      </c>
      <c r="N73" s="41">
        <f t="shared" si="31"/>
        <v>-3.5331220456582949E-2</v>
      </c>
      <c r="O73" s="25" t="s">
        <v>78</v>
      </c>
    </row>
    <row r="74" spans="2:18" ht="13.25" customHeight="1" x14ac:dyDescent="0.35">
      <c r="B74" s="17"/>
      <c r="C74" s="16" t="s">
        <v>79</v>
      </c>
      <c r="D74" s="18" t="s">
        <v>80</v>
      </c>
      <c r="E74" s="30">
        <f>F74/$F$13</f>
        <v>4.7768624644544268E-2</v>
      </c>
      <c r="F74" s="22">
        <f t="shared" si="33"/>
        <v>112204.62000000042</v>
      </c>
      <c r="G74" s="31"/>
      <c r="H74" s="32">
        <f t="shared" si="33"/>
        <v>736391640.0348742</v>
      </c>
      <c r="I74" s="32"/>
      <c r="J74" s="32">
        <f t="shared" si="33"/>
        <v>70143862.929524377</v>
      </c>
      <c r="K74" s="45">
        <f t="shared" si="32"/>
        <v>10.498304616823695</v>
      </c>
      <c r="L74" s="32">
        <f t="shared" si="29"/>
        <v>284553155.10898423</v>
      </c>
      <c r="M74" s="32">
        <f t="shared" si="30"/>
        <v>381392376.10257256</v>
      </c>
      <c r="N74" s="41">
        <f t="shared" si="31"/>
        <v>1.0043089428093903</v>
      </c>
      <c r="O74" s="46">
        <f>N74-N69</f>
        <v>0.15404980748399288</v>
      </c>
    </row>
    <row r="75" spans="2:18" ht="13.25" customHeight="1" x14ac:dyDescent="0.35">
      <c r="B75" s="17"/>
      <c r="C75" s="48" t="s">
        <v>81</v>
      </c>
      <c r="D75" s="86"/>
      <c r="E75" s="50">
        <f>E77+E78</f>
        <v>1</v>
      </c>
      <c r="F75" s="51">
        <f>F77+F78</f>
        <v>2348918.7899994412</v>
      </c>
      <c r="G75" s="90"/>
      <c r="H75" s="52">
        <f>H77+H78</f>
        <v>1267884978.9096916</v>
      </c>
      <c r="I75" s="52"/>
      <c r="J75" s="53">
        <f>SUM(J69:J74)</f>
        <v>1277539861.3837636</v>
      </c>
      <c r="K75" s="54">
        <f t="shared" si="32"/>
        <v>0.99244259786648514</v>
      </c>
      <c r="L75" s="53">
        <f>SUM(L69:L74)</f>
        <v>155036423.23246026</v>
      </c>
      <c r="M75" s="53">
        <f>SUM(M69:M74)</f>
        <v>412840835.38628405</v>
      </c>
      <c r="N75" s="56">
        <f t="shared" si="31"/>
        <v>0.54793415176316762</v>
      </c>
      <c r="O75" s="40"/>
    </row>
    <row r="76" spans="2:18" ht="15" thickBot="1" x14ac:dyDescent="0.4">
      <c r="B76" s="17"/>
      <c r="C76" s="17"/>
      <c r="D76" s="18"/>
      <c r="E76" s="18"/>
      <c r="F76" s="22"/>
      <c r="G76" s="31"/>
      <c r="H76" s="23"/>
      <c r="I76" s="23"/>
      <c r="J76" s="23"/>
      <c r="K76" s="33"/>
      <c r="L76" s="23"/>
      <c r="M76" s="23"/>
      <c r="N76" s="18"/>
      <c r="O76" s="18"/>
    </row>
    <row r="77" spans="2:18" x14ac:dyDescent="0.35">
      <c r="B77" s="17"/>
      <c r="C77" s="59" t="s">
        <v>82</v>
      </c>
      <c r="D77" s="60" t="s">
        <v>83</v>
      </c>
      <c r="E77" s="61">
        <f>SUM(E69:E70)</f>
        <v>0.83412693037374286</v>
      </c>
      <c r="F77" s="62">
        <f>SUM(F69:F70)</f>
        <v>1959296.4199994402</v>
      </c>
      <c r="G77" s="63"/>
      <c r="H77" s="42">
        <f>SUM(H69:H70)</f>
        <v>382369809.42081064</v>
      </c>
      <c r="I77" s="42"/>
      <c r="J77" s="42">
        <f>SUM(J69:J70)</f>
        <v>872683882.53577423</v>
      </c>
      <c r="K77" s="33">
        <f t="shared" si="32"/>
        <v>0.43815385739650808</v>
      </c>
      <c r="L77" s="42">
        <f>SUM(L69:L70)</f>
        <v>-439589578.34154201</v>
      </c>
      <c r="M77" s="64">
        <f>SUM(M67:M72)</f>
        <v>31448459.283711515</v>
      </c>
      <c r="N77" s="34">
        <f>(H77-L77-M77)/J77</f>
        <v>0.90583880864355881</v>
      </c>
      <c r="O77" s="91" t="s">
        <v>78</v>
      </c>
    </row>
    <row r="78" spans="2:18" x14ac:dyDescent="0.35">
      <c r="B78" s="17"/>
      <c r="C78" s="65" t="s">
        <v>84</v>
      </c>
      <c r="D78" s="66" t="s">
        <v>85</v>
      </c>
      <c r="E78" s="67">
        <f t="shared" ref="E78:M78" si="35">SUM(E73:E74)</f>
        <v>0.16587306962625725</v>
      </c>
      <c r="F78" s="68">
        <f t="shared" si="35"/>
        <v>389622.37000000122</v>
      </c>
      <c r="G78" s="69"/>
      <c r="H78" s="70">
        <f t="shared" si="35"/>
        <v>885515169.48888087</v>
      </c>
      <c r="I78" s="70"/>
      <c r="J78" s="70">
        <f t="shared" si="35"/>
        <v>237499920.88875681</v>
      </c>
      <c r="K78" s="45">
        <f t="shared" si="32"/>
        <v>3.7284861661223441</v>
      </c>
      <c r="L78" s="70">
        <f t="shared" si="35"/>
        <v>439589578.34149325</v>
      </c>
      <c r="M78" s="71">
        <f t="shared" si="35"/>
        <v>381392376.10257256</v>
      </c>
      <c r="N78" s="72">
        <f>(H78-L78-M78)/J78</f>
        <v>0.27171889069824973</v>
      </c>
      <c r="O78" s="92">
        <f>N78-N77</f>
        <v>-0.63411991794530909</v>
      </c>
    </row>
    <row r="79" spans="2:18" x14ac:dyDescent="0.35">
      <c r="B79" s="17"/>
      <c r="C79" s="16" t="s">
        <v>81</v>
      </c>
      <c r="D79" s="35"/>
      <c r="E79" s="36">
        <f>E77+E78</f>
        <v>1</v>
      </c>
      <c r="F79" s="37">
        <f>F77+F78</f>
        <v>2348918.7899994412</v>
      </c>
      <c r="G79" s="73"/>
      <c r="H79" s="87">
        <f>H77+H78</f>
        <v>1267884978.9096916</v>
      </c>
      <c r="I79" s="87"/>
      <c r="J79" s="87">
        <f>J77+J78</f>
        <v>1110183803.424531</v>
      </c>
      <c r="K79" s="54">
        <f>H79/J79</f>
        <v>1.1420496092617343</v>
      </c>
      <c r="L79" s="38">
        <f>L77+L78</f>
        <v>-4.8756599426269531E-5</v>
      </c>
      <c r="M79" s="39">
        <f>M77+M78</f>
        <v>412840835.38628405</v>
      </c>
      <c r="N79" s="57">
        <f>(H79-L79-M79)/J79</f>
        <v>0.7701825057129662</v>
      </c>
      <c r="O79" s="40"/>
    </row>
    <row r="80" spans="2:18" x14ac:dyDescent="0.35">
      <c r="B80" s="17"/>
      <c r="C80" s="17"/>
      <c r="D80" s="18"/>
      <c r="E80" s="30"/>
      <c r="F80" s="22"/>
      <c r="G80" s="31"/>
      <c r="H80" s="32"/>
      <c r="I80" s="32"/>
      <c r="J80" s="32"/>
      <c r="K80" s="33"/>
      <c r="L80" s="32"/>
      <c r="M80" s="23"/>
      <c r="N80" s="18"/>
      <c r="O80" s="18"/>
    </row>
    <row r="81" spans="2:18" x14ac:dyDescent="0.35">
      <c r="B81" s="17"/>
      <c r="C81" s="59" t="s">
        <v>86</v>
      </c>
      <c r="D81" s="18" t="s">
        <v>87</v>
      </c>
      <c r="E81" s="30">
        <f>E67+E71</f>
        <v>0.73504929048648926</v>
      </c>
      <c r="F81" s="22">
        <f t="shared" ref="F81:L81" si="36">F67+F71</f>
        <v>1726571.0899994723</v>
      </c>
      <c r="G81" s="31"/>
      <c r="H81" s="32">
        <f t="shared" si="36"/>
        <v>136252909.05134782</v>
      </c>
      <c r="I81" s="32"/>
      <c r="J81" s="32">
        <f t="shared" si="36"/>
        <v>752454538.21833241</v>
      </c>
      <c r="K81" s="33">
        <f t="shared" si="32"/>
        <v>0.18107792847388296</v>
      </c>
      <c r="L81" s="32">
        <f t="shared" si="36"/>
        <v>-315472315.19848031</v>
      </c>
      <c r="M81" s="23"/>
      <c r="N81" s="41">
        <f>(H81-L81-M81)/J81</f>
        <v>0.60033557019860162</v>
      </c>
      <c r="O81" s="25" t="s">
        <v>78</v>
      </c>
    </row>
    <row r="82" spans="2:18" x14ac:dyDescent="0.35">
      <c r="B82" s="17"/>
      <c r="C82" s="65" t="s">
        <v>88</v>
      </c>
      <c r="D82" s="74" t="s">
        <v>89</v>
      </c>
      <c r="E82" s="75">
        <f>E70+E74+E68+E72</f>
        <v>0.26495070951351074</v>
      </c>
      <c r="F82" s="76">
        <f t="shared" ref="F82:M82" si="37">F70+F74+F68+F72</f>
        <v>622347.69999996922</v>
      </c>
      <c r="G82" s="77"/>
      <c r="H82" s="78">
        <f t="shared" si="37"/>
        <v>1131632069.8583436</v>
      </c>
      <c r="I82" s="78"/>
      <c r="J82" s="78">
        <f t="shared" si="37"/>
        <v>357729265.20619863</v>
      </c>
      <c r="K82" s="45">
        <f t="shared" si="32"/>
        <v>3.1633757143298293</v>
      </c>
      <c r="L82" s="78">
        <f t="shared" si="37"/>
        <v>315472315.19843161</v>
      </c>
      <c r="M82" s="78">
        <f t="shared" si="37"/>
        <v>412840835.38628405</v>
      </c>
      <c r="N82" s="80">
        <f>(H82-L82-M82)/J82</f>
        <v>1.1274417793052267</v>
      </c>
      <c r="O82" s="46">
        <f>N82-N81</f>
        <v>0.52710620910662509</v>
      </c>
    </row>
    <row r="83" spans="2:18" x14ac:dyDescent="0.35">
      <c r="B83" s="17"/>
      <c r="C83" s="16" t="s">
        <v>81</v>
      </c>
      <c r="D83" s="18"/>
      <c r="E83" s="36">
        <f>E81+E82</f>
        <v>1</v>
      </c>
      <c r="F83" s="37">
        <f>F81+F82</f>
        <v>2348918.7899994412</v>
      </c>
      <c r="G83" s="73"/>
      <c r="H83" s="87">
        <f>H81+H82</f>
        <v>1267884978.9096913</v>
      </c>
      <c r="I83" s="87"/>
      <c r="J83" s="87">
        <f>J81+J82</f>
        <v>1110183803.424531</v>
      </c>
      <c r="K83" s="54">
        <f>H83/J83</f>
        <v>1.142049609261734</v>
      </c>
      <c r="L83" s="38">
        <f>L81+L82</f>
        <v>-4.8696994781494141E-5</v>
      </c>
      <c r="M83" s="83">
        <f>SUM(M81:M82)</f>
        <v>412840835.38628405</v>
      </c>
      <c r="N83" s="57">
        <f>(H83-L83-M83)/J83</f>
        <v>0.77018250571296576</v>
      </c>
      <c r="O83" s="41"/>
    </row>
    <row r="84" spans="2:18" x14ac:dyDescent="0.35">
      <c r="B84" s="17"/>
      <c r="C84" s="16"/>
      <c r="D84" s="18"/>
      <c r="E84" s="36"/>
      <c r="F84" s="37"/>
      <c r="G84" s="73"/>
      <c r="H84" s="87"/>
      <c r="I84" s="87"/>
      <c r="J84" s="87"/>
      <c r="K84" s="54"/>
      <c r="L84" s="38"/>
      <c r="M84" s="83"/>
      <c r="N84" s="57"/>
      <c r="O84" s="41"/>
    </row>
    <row r="85" spans="2:18" x14ac:dyDescent="0.35">
      <c r="B85" s="16" t="str">
        <f>"5) Hybrid Method, Dampening factor of "&amp;R90</f>
        <v>5) Hybrid Method, Dampening factor of 0.7737</v>
      </c>
      <c r="F85" s="94"/>
      <c r="G85" s="95"/>
      <c r="H85" s="96"/>
      <c r="I85" s="96"/>
      <c r="J85" s="96"/>
      <c r="K85" s="97"/>
      <c r="L85" s="96"/>
      <c r="M85" s="96"/>
    </row>
    <row r="86" spans="2:18" x14ac:dyDescent="0.35">
      <c r="B86" s="120" t="s">
        <v>96</v>
      </c>
      <c r="C86" s="17"/>
      <c r="D86" s="18"/>
      <c r="F86" s="22"/>
      <c r="G86" s="31"/>
      <c r="H86" s="23"/>
      <c r="I86" s="23"/>
      <c r="J86" s="23"/>
      <c r="K86" s="24" t="s">
        <v>61</v>
      </c>
      <c r="L86" s="23"/>
      <c r="M86" s="23"/>
      <c r="N86" s="18" t="s">
        <v>62</v>
      </c>
      <c r="O86" s="18"/>
    </row>
    <row r="87" spans="2:18" x14ac:dyDescent="0.35">
      <c r="C87" s="17"/>
      <c r="D87" s="18"/>
      <c r="E87" s="25" t="s">
        <v>63</v>
      </c>
      <c r="F87" s="26" t="s">
        <v>4</v>
      </c>
      <c r="G87" s="82"/>
      <c r="H87" s="27" t="s">
        <v>5</v>
      </c>
      <c r="I87" s="27"/>
      <c r="J87" s="27" t="s">
        <v>6</v>
      </c>
      <c r="K87" s="28" t="s">
        <v>65</v>
      </c>
      <c r="L87" s="27" t="s">
        <v>66</v>
      </c>
      <c r="M87" s="27" t="s">
        <v>91</v>
      </c>
      <c r="N87" s="27" t="s">
        <v>65</v>
      </c>
      <c r="O87" s="25"/>
    </row>
    <row r="88" spans="2:18" x14ac:dyDescent="0.35">
      <c r="B88" s="17"/>
      <c r="C88" s="17" t="s">
        <v>67</v>
      </c>
      <c r="D88" s="18"/>
      <c r="E88" s="30">
        <f>F88/$F$13</f>
        <v>0.68765860568549353</v>
      </c>
      <c r="F88" s="22">
        <f t="shared" ref="F88:F95" si="38">F67</f>
        <v>1615254.2199994724</v>
      </c>
      <c r="G88" s="31"/>
      <c r="H88" s="32">
        <f t="shared" ref="H88:H95" si="39">H67</f>
        <v>120133379.48362011</v>
      </c>
      <c r="I88" s="32"/>
      <c r="J88" s="32">
        <f t="shared" ref="J88:J95" si="40">J67</f>
        <v>689246567.14238691</v>
      </c>
      <c r="K88" s="33">
        <f>H88/J88</f>
        <v>0.17429666712986697</v>
      </c>
      <c r="L88" s="32">
        <f t="shared" ref="L88:L95" si="41">L25*$R$90</f>
        <v>-372440323.34396106</v>
      </c>
      <c r="M88" s="32">
        <f t="shared" ref="M88:M95" si="42">M67</f>
        <v>0</v>
      </c>
      <c r="N88" s="41">
        <f t="shared" ref="N88:N96" si="43">(H88-L88-M88)/J88</f>
        <v>0.71465528638000975</v>
      </c>
      <c r="O88" s="18"/>
    </row>
    <row r="89" spans="2:18" x14ac:dyDescent="0.35">
      <c r="B89" s="17"/>
      <c r="C89" s="17" t="s">
        <v>68</v>
      </c>
      <c r="D89" s="18"/>
      <c r="E89" s="30">
        <f>F89/$F$13</f>
        <v>0.13626828707860261</v>
      </c>
      <c r="F89" s="22">
        <f t="shared" si="38"/>
        <v>320083.13999996777</v>
      </c>
      <c r="G89" s="31"/>
      <c r="H89" s="32">
        <f t="shared" si="39"/>
        <v>176242350.88244063</v>
      </c>
      <c r="I89" s="32"/>
      <c r="J89" s="32">
        <f t="shared" si="40"/>
        <v>170801774.91384268</v>
      </c>
      <c r="K89" s="33">
        <f t="shared" ref="K89:K103" si="44">H89/J89</f>
        <v>1.0318531582668993</v>
      </c>
      <c r="L89" s="32">
        <f t="shared" si="41"/>
        <v>-77089433.503968731</v>
      </c>
      <c r="M89" s="32">
        <f t="shared" si="42"/>
        <v>0</v>
      </c>
      <c r="N89" s="41">
        <f t="shared" si="43"/>
        <v>1.483191755555217</v>
      </c>
      <c r="O89" s="18"/>
    </row>
    <row r="90" spans="2:18" x14ac:dyDescent="0.35">
      <c r="B90" s="17"/>
      <c r="C90" s="16" t="s">
        <v>69</v>
      </c>
      <c r="D90" s="35" t="s">
        <v>70</v>
      </c>
      <c r="E90" s="36">
        <f>F90/$F$13</f>
        <v>0.82392689276409625</v>
      </c>
      <c r="F90" s="37">
        <f t="shared" si="38"/>
        <v>1935337.3599994404</v>
      </c>
      <c r="G90" s="31"/>
      <c r="H90" s="38">
        <f t="shared" si="39"/>
        <v>296375730.36606073</v>
      </c>
      <c r="I90" s="38"/>
      <c r="J90" s="38">
        <f t="shared" si="40"/>
        <v>860048342.05622959</v>
      </c>
      <c r="K90" s="33">
        <f t="shared" si="44"/>
        <v>0.34460357153584725</v>
      </c>
      <c r="L90" s="38">
        <f t="shared" si="41"/>
        <v>-449529756.84792984</v>
      </c>
      <c r="M90" s="38">
        <f t="shared" si="42"/>
        <v>0</v>
      </c>
      <c r="N90" s="40">
        <f t="shared" si="43"/>
        <v>0.86728321041891343</v>
      </c>
      <c r="O90" s="41"/>
      <c r="R90" s="20">
        <v>0.77370000000000005</v>
      </c>
    </row>
    <row r="91" spans="2:18" x14ac:dyDescent="0.35">
      <c r="B91" s="17"/>
      <c r="C91" s="16" t="s">
        <v>71</v>
      </c>
      <c r="D91" s="35" t="s">
        <v>72</v>
      </c>
      <c r="E91" s="36">
        <f>F91/$F$13</f>
        <v>1.020003760964662E-2</v>
      </c>
      <c r="F91" s="37">
        <f t="shared" si="38"/>
        <v>23959.059999999932</v>
      </c>
      <c r="G91" s="31"/>
      <c r="H91" s="39">
        <f t="shared" si="39"/>
        <v>85994079.054749891</v>
      </c>
      <c r="I91" s="39"/>
      <c r="J91" s="39">
        <f t="shared" si="40"/>
        <v>12635540.479544606</v>
      </c>
      <c r="K91" s="33">
        <f t="shared" si="44"/>
        <v>6.8057301699095332</v>
      </c>
      <c r="L91" s="38">
        <f t="shared" si="41"/>
        <v>-4859630.944790314</v>
      </c>
      <c r="M91" s="38">
        <f t="shared" si="42"/>
        <v>31448459.283711515</v>
      </c>
      <c r="N91" s="40">
        <f t="shared" si="43"/>
        <v>4.7014412095785314</v>
      </c>
    </row>
    <row r="92" spans="2:18" x14ac:dyDescent="0.35">
      <c r="B92" s="17"/>
      <c r="C92" s="17" t="s">
        <v>73</v>
      </c>
      <c r="D92" s="35"/>
      <c r="E92" s="30">
        <f t="shared" ref="E92:E93" si="45">F92/$F$13</f>
        <v>4.7390684800995717E-2</v>
      </c>
      <c r="F92" s="22">
        <f t="shared" si="38"/>
        <v>111316.86999999978</v>
      </c>
      <c r="G92" s="31"/>
      <c r="H92" s="43">
        <f t="shared" si="39"/>
        <v>16119529.567727707</v>
      </c>
      <c r="I92" s="43"/>
      <c r="J92" s="43">
        <f t="shared" si="40"/>
        <v>63207971.075945482</v>
      </c>
      <c r="K92" s="33">
        <f t="shared" si="44"/>
        <v>0.25502368282569632</v>
      </c>
      <c r="L92" s="32">
        <f t="shared" si="41"/>
        <v>46346896.130782396</v>
      </c>
      <c r="M92" s="32">
        <f t="shared" si="42"/>
        <v>0</v>
      </c>
      <c r="N92" s="41">
        <f t="shared" si="43"/>
        <v>-0.47822080108750809</v>
      </c>
      <c r="O92" s="41"/>
    </row>
    <row r="93" spans="2:18" ht="15" thickBot="1" x14ac:dyDescent="0.4">
      <c r="B93" s="17"/>
      <c r="C93" s="17" t="s">
        <v>74</v>
      </c>
      <c r="D93" s="35"/>
      <c r="E93" s="30">
        <f t="shared" si="45"/>
        <v>7.0713760180717261E-2</v>
      </c>
      <c r="F93" s="22">
        <f t="shared" si="38"/>
        <v>166100.88000000105</v>
      </c>
      <c r="G93" s="31"/>
      <c r="H93" s="43">
        <f t="shared" si="39"/>
        <v>133003999.88627899</v>
      </c>
      <c r="I93" s="43"/>
      <c r="J93" s="43">
        <f t="shared" si="40"/>
        <v>104148086.88328695</v>
      </c>
      <c r="K93" s="33">
        <f t="shared" si="44"/>
        <v>1.2770661839936559</v>
      </c>
      <c r="L93" s="32">
        <f t="shared" si="41"/>
        <v>113909190.24863274</v>
      </c>
      <c r="M93" s="32">
        <f t="shared" si="42"/>
        <v>0</v>
      </c>
      <c r="N93" s="41">
        <f t="shared" si="43"/>
        <v>0.18334287464199653</v>
      </c>
      <c r="O93" s="41" t="s">
        <v>75</v>
      </c>
    </row>
    <row r="94" spans="2:18" x14ac:dyDescent="0.35">
      <c r="B94" s="17"/>
      <c r="C94" s="16" t="s">
        <v>76</v>
      </c>
      <c r="D94" s="18" t="s">
        <v>77</v>
      </c>
      <c r="E94" s="36">
        <f>F94/$F$13</f>
        <v>0.11810444498171298</v>
      </c>
      <c r="F94" s="37">
        <f t="shared" si="38"/>
        <v>277417.75000000081</v>
      </c>
      <c r="G94" s="31"/>
      <c r="H94" s="39">
        <f t="shared" si="39"/>
        <v>149123529.4540067</v>
      </c>
      <c r="I94" s="39"/>
      <c r="J94" s="39">
        <f t="shared" si="40"/>
        <v>167356057.95923245</v>
      </c>
      <c r="K94" s="33">
        <f t="shared" si="44"/>
        <v>0.89105546146607284</v>
      </c>
      <c r="L94" s="38">
        <f t="shared" si="41"/>
        <v>160256086.37941512</v>
      </c>
      <c r="M94" s="38">
        <f t="shared" si="42"/>
        <v>0</v>
      </c>
      <c r="N94" s="40">
        <f t="shared" si="43"/>
        <v>-6.6520190910091162E-2</v>
      </c>
      <c r="O94" s="91" t="s">
        <v>78</v>
      </c>
    </row>
    <row r="95" spans="2:18" ht="15" thickBot="1" x14ac:dyDescent="0.4">
      <c r="B95" s="17"/>
      <c r="C95" s="16" t="s">
        <v>79</v>
      </c>
      <c r="D95" s="18" t="s">
        <v>80</v>
      </c>
      <c r="E95" s="36">
        <f>F95/$F$13</f>
        <v>4.7768624644544268E-2</v>
      </c>
      <c r="F95" s="37">
        <f t="shared" si="38"/>
        <v>112204.62000000042</v>
      </c>
      <c r="G95" s="31"/>
      <c r="H95" s="38">
        <f t="shared" si="39"/>
        <v>736391640.0348742</v>
      </c>
      <c r="I95" s="38"/>
      <c r="J95" s="38">
        <f t="shared" si="40"/>
        <v>70143862.929524377</v>
      </c>
      <c r="K95" s="45">
        <f t="shared" si="44"/>
        <v>10.498304616823695</v>
      </c>
      <c r="L95" s="38">
        <f t="shared" si="41"/>
        <v>294133301.41325462</v>
      </c>
      <c r="M95" s="38">
        <f t="shared" si="42"/>
        <v>381392376.10257256</v>
      </c>
      <c r="N95" s="40">
        <f t="shared" si="43"/>
        <v>0.86773040401554247</v>
      </c>
      <c r="O95" s="98">
        <f>N95-N90</f>
        <v>4.4719359662903635E-4</v>
      </c>
    </row>
    <row r="96" spans="2:18" x14ac:dyDescent="0.35">
      <c r="B96" s="17"/>
      <c r="C96" s="48" t="s">
        <v>81</v>
      </c>
      <c r="D96" s="49"/>
      <c r="E96" s="50">
        <f>E98+E99</f>
        <v>1</v>
      </c>
      <c r="F96" s="51">
        <f>F98+F99</f>
        <v>2348918.7899994412</v>
      </c>
      <c r="G96" s="90"/>
      <c r="H96" s="52">
        <f>H98+H99</f>
        <v>1267884978.9096916</v>
      </c>
      <c r="I96" s="52"/>
      <c r="J96" s="53">
        <f>SUM(J90:J95)</f>
        <v>1277539861.3837636</v>
      </c>
      <c r="K96" s="54">
        <f t="shared" si="44"/>
        <v>0.99244259786648514</v>
      </c>
      <c r="L96" s="53">
        <f>SUM(L90:L95)</f>
        <v>160256086.37936476</v>
      </c>
      <c r="M96" s="53">
        <f>SUM(M90:M95)</f>
        <v>412840835.38628405</v>
      </c>
      <c r="N96" s="56">
        <f t="shared" si="43"/>
        <v>0.54384843725461929</v>
      </c>
      <c r="O96" s="40"/>
    </row>
    <row r="97" spans="2:15" x14ac:dyDescent="0.35">
      <c r="B97" s="17"/>
      <c r="C97" s="17"/>
      <c r="D97" s="18"/>
      <c r="E97" s="18"/>
      <c r="F97" s="22"/>
      <c r="G97" s="31"/>
      <c r="H97" s="23"/>
      <c r="I97" s="23"/>
      <c r="J97" s="23"/>
      <c r="K97" s="33"/>
      <c r="L97" s="23"/>
      <c r="M97" s="23"/>
      <c r="N97" s="18"/>
      <c r="O97" s="18"/>
    </row>
    <row r="98" spans="2:15" x14ac:dyDescent="0.35">
      <c r="B98" s="17"/>
      <c r="C98" s="59" t="s">
        <v>82</v>
      </c>
      <c r="D98" s="60" t="s">
        <v>83</v>
      </c>
      <c r="E98" s="61">
        <f>SUM(E90:E91)</f>
        <v>0.83412693037374286</v>
      </c>
      <c r="F98" s="62">
        <f>SUM(F90:F91)</f>
        <v>1959296.4199994402</v>
      </c>
      <c r="G98" s="63"/>
      <c r="H98" s="42">
        <f>SUM(H90:H91)</f>
        <v>382369809.42081064</v>
      </c>
      <c r="I98" s="42"/>
      <c r="J98" s="42">
        <f>SUM(J90:J91)</f>
        <v>872683882.53577423</v>
      </c>
      <c r="K98" s="33">
        <f t="shared" si="44"/>
        <v>0.43815385739650808</v>
      </c>
      <c r="L98" s="42">
        <f>SUM(L90:L91)</f>
        <v>-454389387.79272014</v>
      </c>
      <c r="M98" s="64">
        <f>SUM(M88:M93)</f>
        <v>31448459.283711515</v>
      </c>
      <c r="N98" s="34">
        <f>(H98-L98-M98)/J98</f>
        <v>0.92279776680395709</v>
      </c>
      <c r="O98" s="99" t="s">
        <v>78</v>
      </c>
    </row>
    <row r="99" spans="2:15" x14ac:dyDescent="0.35">
      <c r="B99" s="17"/>
      <c r="C99" s="65" t="s">
        <v>84</v>
      </c>
      <c r="D99" s="66" t="s">
        <v>85</v>
      </c>
      <c r="E99" s="67">
        <f t="shared" ref="E99:M99" si="46">SUM(E94:E95)</f>
        <v>0.16587306962625725</v>
      </c>
      <c r="F99" s="68">
        <f t="shared" si="46"/>
        <v>389622.37000000122</v>
      </c>
      <c r="G99" s="69"/>
      <c r="H99" s="70">
        <f t="shared" si="46"/>
        <v>885515169.48888087</v>
      </c>
      <c r="I99" s="70"/>
      <c r="J99" s="70">
        <f t="shared" si="46"/>
        <v>237499920.88875681</v>
      </c>
      <c r="K99" s="45">
        <f t="shared" si="44"/>
        <v>3.7284861661223441</v>
      </c>
      <c r="L99" s="70">
        <f t="shared" si="46"/>
        <v>454389387.79266977</v>
      </c>
      <c r="M99" s="71">
        <f t="shared" si="46"/>
        <v>381392376.10257256</v>
      </c>
      <c r="N99" s="72">
        <f>(H99-L99-M99)/J99</f>
        <v>0.20940388277827382</v>
      </c>
      <c r="O99" s="85">
        <f>N99-N98</f>
        <v>-0.71339388402568327</v>
      </c>
    </row>
    <row r="100" spans="2:15" x14ac:dyDescent="0.35">
      <c r="B100" s="17"/>
      <c r="C100" s="16" t="s">
        <v>81</v>
      </c>
      <c r="D100" s="35"/>
      <c r="E100" s="36">
        <f>E98+E99</f>
        <v>1</v>
      </c>
      <c r="F100" s="37">
        <f>F98+F99</f>
        <v>2348918.7899994412</v>
      </c>
      <c r="G100" s="73"/>
      <c r="H100" s="87">
        <f>H98+H99</f>
        <v>1267884978.9096916</v>
      </c>
      <c r="I100" s="87"/>
      <c r="J100" s="87">
        <f>J98+J99</f>
        <v>1110183803.424531</v>
      </c>
      <c r="K100" s="54">
        <f>H100/J100</f>
        <v>1.1420496092617343</v>
      </c>
      <c r="L100" s="38">
        <f>L98+L99</f>
        <v>-5.0365924835205078E-5</v>
      </c>
      <c r="M100" s="39">
        <f>M98+M99</f>
        <v>412840835.38628405</v>
      </c>
      <c r="N100" s="57">
        <f>(H100-L100-M100)/J100</f>
        <v>0.77018250571296742</v>
      </c>
      <c r="O100" s="40"/>
    </row>
    <row r="101" spans="2:15" x14ac:dyDescent="0.35">
      <c r="B101" s="17"/>
      <c r="C101" s="17"/>
      <c r="D101" s="18"/>
      <c r="E101" s="30"/>
      <c r="F101" s="22"/>
      <c r="G101" s="31"/>
      <c r="H101" s="32"/>
      <c r="I101" s="32"/>
      <c r="J101" s="32"/>
      <c r="K101" s="33"/>
      <c r="L101" s="32"/>
      <c r="M101" s="23"/>
      <c r="N101" s="18"/>
      <c r="O101" s="18"/>
    </row>
    <row r="102" spans="2:15" x14ac:dyDescent="0.35">
      <c r="B102" s="17"/>
      <c r="C102" s="59" t="s">
        <v>86</v>
      </c>
      <c r="D102" s="18" t="s">
        <v>87</v>
      </c>
      <c r="E102" s="30">
        <f>E88+E92</f>
        <v>0.73504929048648926</v>
      </c>
      <c r="F102" s="22">
        <f t="shared" ref="F102:L102" si="47">F88+F92</f>
        <v>1726571.0899994723</v>
      </c>
      <c r="G102" s="31"/>
      <c r="H102" s="32">
        <f t="shared" si="47"/>
        <v>136252909.05134782</v>
      </c>
      <c r="I102" s="32"/>
      <c r="J102" s="32">
        <f t="shared" si="47"/>
        <v>752454538.21833241</v>
      </c>
      <c r="K102" s="33">
        <f t="shared" si="44"/>
        <v>0.18107792847388296</v>
      </c>
      <c r="L102" s="32">
        <f t="shared" si="47"/>
        <v>-326093427.21317863</v>
      </c>
      <c r="M102" s="23"/>
      <c r="N102" s="41">
        <f>(H102-L102-M102)/J102</f>
        <v>0.61445085753522555</v>
      </c>
      <c r="O102" s="25" t="s">
        <v>78</v>
      </c>
    </row>
    <row r="103" spans="2:15" x14ac:dyDescent="0.35">
      <c r="B103" s="17"/>
      <c r="C103" s="65" t="s">
        <v>88</v>
      </c>
      <c r="D103" s="74" t="s">
        <v>89</v>
      </c>
      <c r="E103" s="75">
        <f>E91+E95+E89+E93</f>
        <v>0.26495070951351074</v>
      </c>
      <c r="F103" s="76">
        <f t="shared" ref="F103:M103" si="48">F91+F95+F89+F93</f>
        <v>622347.69999996922</v>
      </c>
      <c r="G103" s="77"/>
      <c r="H103" s="78">
        <f t="shared" si="48"/>
        <v>1131632069.8583436</v>
      </c>
      <c r="I103" s="78"/>
      <c r="J103" s="78">
        <f t="shared" si="48"/>
        <v>357729265.20619863</v>
      </c>
      <c r="K103" s="45">
        <f t="shared" si="44"/>
        <v>3.1633757143298293</v>
      </c>
      <c r="L103" s="78">
        <f t="shared" si="48"/>
        <v>326093427.21312833</v>
      </c>
      <c r="M103" s="78">
        <f t="shared" si="48"/>
        <v>412840835.38628405</v>
      </c>
      <c r="N103" s="80">
        <f>(H103-L103-M103)/J103</f>
        <v>1.0977514155364851</v>
      </c>
      <c r="O103" s="46">
        <f>N103-N102</f>
        <v>0.48330055800125959</v>
      </c>
    </row>
    <row r="104" spans="2:15" x14ac:dyDescent="0.35">
      <c r="B104" s="17"/>
      <c r="C104" s="16" t="s">
        <v>81</v>
      </c>
      <c r="D104" s="18"/>
      <c r="E104" s="36">
        <f>E102+E103</f>
        <v>1</v>
      </c>
      <c r="F104" s="37">
        <f>F102+F103</f>
        <v>2348918.7899994412</v>
      </c>
      <c r="G104" s="73"/>
      <c r="H104" s="87">
        <f>H102+H103</f>
        <v>1267884978.9096913</v>
      </c>
      <c r="I104" s="87"/>
      <c r="J104" s="87">
        <f>J102+J103</f>
        <v>1110183803.424531</v>
      </c>
      <c r="K104" s="54">
        <f>H104/J104</f>
        <v>1.142049609261734</v>
      </c>
      <c r="L104" s="38">
        <f>L102+L103</f>
        <v>-5.0306320190429688E-5</v>
      </c>
      <c r="M104" s="83">
        <f>M103+M102</f>
        <v>412840835.38628405</v>
      </c>
      <c r="N104" s="57">
        <f>(H104-L104-M104)/J104</f>
        <v>0.7701825057129672</v>
      </c>
      <c r="O104" s="41"/>
    </row>
    <row r="105" spans="2:15" x14ac:dyDescent="0.35">
      <c r="G105" s="100"/>
      <c r="H105" s="96"/>
      <c r="I105" s="96"/>
      <c r="J105" s="96"/>
      <c r="K105" s="84"/>
      <c r="L105" s="96"/>
    </row>
    <row r="106" spans="2:15" x14ac:dyDescent="0.35">
      <c r="G106" s="100"/>
      <c r="H106" s="96"/>
      <c r="I106" s="96"/>
      <c r="J106" s="96"/>
      <c r="K106" s="84"/>
      <c r="L106" s="96"/>
    </row>
  </sheetData>
  <printOptions horizontalCentered="1"/>
  <pageMargins left="0.45" right="0.45" top="0.5" bottom="0.75" header="0.3" footer="0.3"/>
  <pageSetup scale="45" orientation="portrait" r:id="rId1"/>
  <headerFooter scaleWithDoc="0" alignWithMargins="0">
    <oddFooter>&amp;L&amp;8&amp;D   &amp;T   &amp;Z&amp;F:   &amp;A</oddFooter>
  </headerFooter>
  <rowBreaks count="1" manualBreakCount="1">
    <brk id="61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5 from L&amp;E</vt:lpstr>
      <vt:lpstr>Comparison of Dampening Methods</vt:lpstr>
      <vt:lpstr>'Comparison of Dampening Methods'!Print_Area</vt:lpstr>
    </vt:vector>
  </TitlesOfParts>
  <Company>Maryland Insurance Administration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Bradley Boban</dc:creator>
  <cp:lastModifiedBy>Diana Hsu</cp:lastModifiedBy>
  <cp:lastPrinted>2020-03-12T15:59:13Z</cp:lastPrinted>
  <dcterms:created xsi:type="dcterms:W3CDTF">2020-03-05T21:00:22Z</dcterms:created>
  <dcterms:modified xsi:type="dcterms:W3CDTF">2020-03-18T21:48:55Z</dcterms:modified>
</cp:coreProperties>
</file>