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defaultThemeVersion="153222"/>
  <mc:AlternateContent xmlns:mc="http://schemas.openxmlformats.org/markup-compatibility/2006">
    <mc:Choice Requires="x15">
      <x15ac:absPath xmlns:x15ac="http://schemas.microsoft.com/office/spreadsheetml/2010/11/ac" url="C:\Users\eleo\Documents\Uninsured_by_zip\2019 Uninsured Analysis\Health_Insurance_Status_by_Zip_2017\"/>
    </mc:Choice>
  </mc:AlternateContent>
  <bookViews>
    <workbookView xWindow="0" yWindow="0" windowWidth="19200" windowHeight="5916" tabRatio="720"/>
  </bookViews>
  <sheets>
    <sheet name="StartPage" sheetId="7" r:id="rId1"/>
    <sheet name="CompareMapCalcs" sheetId="16" state="hidden" r:id="rId2"/>
    <sheet name="StatewideTotals" sheetId="6" r:id="rId3"/>
    <sheet name="UninsuredAnalysis" sheetId="2" r:id="rId4"/>
    <sheet name="MostNeed LT19 &amp; 19-64" sheetId="9" r:id="rId5"/>
    <sheet name="MostNeed CountyAgg" sheetId="10" r:id="rId6"/>
    <sheet name="PivotTables" sheetId="11" r:id="rId7"/>
    <sheet name="PivotChart" sheetId="13" r:id="rId8"/>
    <sheet name="TotalsPivotChart" sheetId="12" r:id="rId9"/>
    <sheet name="IRSData" sheetId="5" state="hidden" r:id="rId10"/>
    <sheet name="Citizenship" sheetId="4" state="hidden" r:id="rId11"/>
    <sheet name="ModifiedBaseTable" sheetId="1" r:id="rId12"/>
    <sheet name="RemovedUninsured" sheetId="15" r:id="rId13"/>
    <sheet name="RemovedUninsMostNeed" sheetId="14" r:id="rId14"/>
    <sheet name="ZipToCnty" sheetId="3" r:id="rId15"/>
  </sheets>
  <calcPr calcId="152511"/>
  <pivotCaches>
    <pivotCache cacheId="0" r:id="rId16"/>
  </pivotCaches>
</workbook>
</file>

<file path=xl/calcChain.xml><?xml version="1.0" encoding="utf-8"?>
<calcChain xmlns="http://schemas.openxmlformats.org/spreadsheetml/2006/main">
  <c r="F3" i="16" l="1"/>
  <c r="F4" i="16"/>
  <c r="F5" i="16"/>
  <c r="F6" i="16"/>
  <c r="F7" i="16"/>
  <c r="F8" i="16"/>
  <c r="F9" i="16"/>
  <c r="F10" i="16"/>
  <c r="F11" i="16"/>
  <c r="F12" i="16"/>
  <c r="F13" i="16"/>
  <c r="F14" i="16"/>
  <c r="F15" i="16"/>
  <c r="F16" i="16"/>
  <c r="F17" i="16"/>
  <c r="F18" i="16"/>
  <c r="F19" i="16"/>
  <c r="F20" i="16"/>
  <c r="F21" i="16"/>
  <c r="F22" i="16"/>
  <c r="F23" i="16"/>
  <c r="F24" i="16"/>
  <c r="F25" i="16"/>
  <c r="F26" i="16"/>
  <c r="F27" i="16"/>
  <c r="F28" i="16"/>
  <c r="F29" i="16"/>
  <c r="F30" i="16"/>
  <c r="F31" i="16"/>
  <c r="F32" i="16"/>
  <c r="F33" i="16"/>
  <c r="F34" i="16"/>
  <c r="F35" i="16"/>
  <c r="F36" i="16"/>
  <c r="F37" i="16"/>
  <c r="F38" i="16"/>
  <c r="F39" i="16"/>
  <c r="F40" i="16"/>
  <c r="F41" i="16"/>
  <c r="F42" i="16"/>
  <c r="F43" i="16"/>
  <c r="F44" i="16"/>
  <c r="F45" i="16"/>
  <c r="F46" i="16"/>
  <c r="F47" i="16"/>
  <c r="F48" i="16"/>
  <c r="F49" i="16"/>
  <c r="F50" i="16"/>
  <c r="F51" i="16"/>
  <c r="F52" i="16"/>
  <c r="F53" i="16"/>
  <c r="F54" i="16"/>
  <c r="F55" i="16"/>
  <c r="F56" i="16"/>
  <c r="F57" i="16"/>
  <c r="F58" i="16"/>
  <c r="F59" i="16"/>
  <c r="F60" i="16"/>
  <c r="F61" i="16"/>
  <c r="F62" i="16"/>
  <c r="F63" i="16"/>
  <c r="F64" i="16"/>
  <c r="F65" i="16"/>
  <c r="F66" i="16"/>
  <c r="F67" i="16"/>
  <c r="F68" i="16"/>
  <c r="F69" i="16"/>
  <c r="F70" i="16"/>
  <c r="F71" i="16"/>
  <c r="F72" i="16"/>
  <c r="F73" i="16"/>
  <c r="F74" i="16"/>
  <c r="F75" i="16"/>
  <c r="F76" i="16"/>
  <c r="F77" i="16"/>
  <c r="F78" i="16"/>
  <c r="F79" i="16"/>
  <c r="F80" i="16"/>
  <c r="F81" i="16"/>
  <c r="F82" i="16"/>
  <c r="F83" i="16"/>
  <c r="F84" i="16"/>
  <c r="F85" i="16"/>
  <c r="F86" i="16"/>
  <c r="F87" i="16"/>
  <c r="F88" i="16"/>
  <c r="F89" i="16"/>
  <c r="F90" i="16"/>
  <c r="F91" i="16"/>
  <c r="F92" i="16"/>
  <c r="F93" i="16"/>
  <c r="F94" i="16"/>
  <c r="F95" i="16"/>
  <c r="F96" i="16"/>
  <c r="F97" i="16"/>
  <c r="F98" i="16"/>
  <c r="F99" i="16"/>
  <c r="F100" i="16"/>
  <c r="F101" i="16"/>
  <c r="F102" i="16"/>
  <c r="F103" i="16"/>
  <c r="F104" i="16"/>
  <c r="F105" i="16"/>
  <c r="F106" i="16"/>
  <c r="F107" i="16"/>
  <c r="F108" i="16"/>
  <c r="F109" i="16"/>
  <c r="F110" i="16"/>
  <c r="F111" i="16"/>
  <c r="F112" i="16"/>
  <c r="F113" i="16"/>
  <c r="F114" i="16"/>
  <c r="F115" i="16"/>
  <c r="F116" i="16"/>
  <c r="F117" i="16"/>
  <c r="F118" i="16"/>
  <c r="F119" i="16"/>
  <c r="F120" i="16"/>
  <c r="F121" i="16"/>
  <c r="F122" i="16"/>
  <c r="F123" i="16"/>
  <c r="F124" i="16"/>
  <c r="F125" i="16"/>
  <c r="F126" i="16"/>
  <c r="F127" i="16"/>
  <c r="F128" i="16"/>
  <c r="F129" i="16"/>
  <c r="F130" i="16"/>
  <c r="F131" i="16"/>
  <c r="F132" i="16"/>
  <c r="F133" i="16"/>
  <c r="F134" i="16"/>
  <c r="F135" i="16"/>
  <c r="F136" i="16"/>
  <c r="F137" i="16"/>
  <c r="F138" i="16"/>
  <c r="F139" i="16"/>
  <c r="F140" i="16"/>
  <c r="F141" i="16"/>
  <c r="F142" i="16"/>
  <c r="F143" i="16"/>
  <c r="F144" i="16"/>
  <c r="F145" i="16"/>
  <c r="F146" i="16"/>
  <c r="F147" i="16"/>
  <c r="F148" i="16"/>
  <c r="F149" i="16"/>
  <c r="F150" i="16"/>
  <c r="F151" i="16"/>
  <c r="F152" i="16"/>
  <c r="F153" i="16"/>
  <c r="F154" i="16"/>
  <c r="F155" i="16"/>
  <c r="F156" i="16"/>
  <c r="F157" i="16"/>
  <c r="F158" i="16"/>
  <c r="F159" i="16"/>
  <c r="F160" i="16"/>
  <c r="F161" i="16"/>
  <c r="F162" i="16"/>
  <c r="F163" i="16"/>
  <c r="F164" i="16"/>
  <c r="F165" i="16"/>
  <c r="F166" i="16"/>
  <c r="F167" i="16"/>
  <c r="F168" i="16"/>
  <c r="F169" i="16"/>
  <c r="F170" i="16"/>
  <c r="F171" i="16"/>
  <c r="F172" i="16"/>
  <c r="F173" i="16"/>
  <c r="F174" i="16"/>
  <c r="F175" i="16"/>
  <c r="F176" i="16"/>
  <c r="F177" i="16"/>
  <c r="F178" i="16"/>
  <c r="F179" i="16"/>
  <c r="F180" i="16"/>
  <c r="F181" i="16"/>
  <c r="F182" i="16"/>
  <c r="F183" i="16"/>
  <c r="F184" i="16"/>
  <c r="F185" i="16"/>
  <c r="F186" i="16"/>
  <c r="F187" i="16"/>
  <c r="F188" i="16"/>
  <c r="F189" i="16"/>
  <c r="F190" i="16"/>
  <c r="F191" i="16"/>
  <c r="F192" i="16"/>
  <c r="F193" i="16"/>
  <c r="F194" i="16"/>
  <c r="F195" i="16"/>
  <c r="F196" i="16"/>
  <c r="F197" i="16"/>
  <c r="F198" i="16"/>
  <c r="F199" i="16"/>
  <c r="F200" i="16"/>
  <c r="F201" i="16"/>
  <c r="F202" i="16"/>
  <c r="F203" i="16"/>
  <c r="F204" i="16"/>
  <c r="F205" i="16"/>
  <c r="F206" i="16"/>
  <c r="F207" i="16"/>
  <c r="F208" i="16"/>
  <c r="F209" i="16"/>
  <c r="F210" i="16"/>
  <c r="F211" i="16"/>
  <c r="F212" i="16"/>
  <c r="F213" i="16"/>
  <c r="F214" i="16"/>
  <c r="F215" i="16"/>
  <c r="F216" i="16"/>
  <c r="F217" i="16"/>
  <c r="F218" i="16"/>
  <c r="F219" i="16"/>
  <c r="F220" i="16"/>
  <c r="F221" i="16"/>
  <c r="F222" i="16"/>
  <c r="F223" i="16"/>
  <c r="F224" i="16"/>
  <c r="F2" i="16"/>
  <c r="G4" i="2"/>
  <c r="G5" i="2"/>
  <c r="G6" i="2"/>
  <c r="G7" i="2"/>
  <c r="G8" i="2"/>
  <c r="G9" i="2"/>
  <c r="G10" i="2"/>
  <c r="G11" i="2"/>
  <c r="G12" i="2"/>
  <c r="G13" i="2"/>
  <c r="G14" i="2"/>
  <c r="G15" i="2"/>
  <c r="G16" i="2"/>
  <c r="G17" i="2"/>
  <c r="G18" i="2"/>
  <c r="G19" i="2"/>
  <c r="G20" i="2"/>
  <c r="G21" i="2"/>
  <c r="G22" i="2"/>
  <c r="G23" i="2"/>
  <c r="G24" i="2"/>
  <c r="G25" i="2"/>
  <c r="G26" i="2"/>
  <c r="G27" i="2"/>
  <c r="G28" i="2"/>
  <c r="G29" i="2"/>
  <c r="G30" i="2"/>
  <c r="G31" i="2"/>
  <c r="G32" i="2"/>
  <c r="G33" i="2"/>
  <c r="G34" i="2"/>
  <c r="G35" i="2"/>
  <c r="G36" i="2"/>
  <c r="G37" i="2"/>
  <c r="G38" i="2"/>
  <c r="G39" i="2"/>
  <c r="G40" i="2"/>
  <c r="G41" i="2"/>
  <c r="G42" i="2"/>
  <c r="G43" i="2"/>
  <c r="G44" i="2"/>
  <c r="G45" i="2"/>
  <c r="G46" i="2"/>
  <c r="G47" i="2"/>
  <c r="G48" i="2"/>
  <c r="G49" i="2"/>
  <c r="G50" i="2"/>
  <c r="G51" i="2"/>
  <c r="G52" i="2"/>
  <c r="G53" i="2"/>
  <c r="G54" i="2"/>
  <c r="G55" i="2"/>
  <c r="G56" i="2"/>
  <c r="G57" i="2"/>
  <c r="G58" i="2"/>
  <c r="G59" i="2"/>
  <c r="G60" i="2"/>
  <c r="G61" i="2"/>
  <c r="G62" i="2"/>
  <c r="G63" i="2"/>
  <c r="G64" i="2"/>
  <c r="G65" i="2"/>
  <c r="G66" i="2"/>
  <c r="G67" i="2"/>
  <c r="G68" i="2"/>
  <c r="G69" i="2"/>
  <c r="G70" i="2"/>
  <c r="G71" i="2"/>
  <c r="G72" i="2"/>
  <c r="G73" i="2"/>
  <c r="G74" i="2"/>
  <c r="G75" i="2"/>
  <c r="G76" i="2"/>
  <c r="G77" i="2"/>
  <c r="G78" i="2"/>
  <c r="G79" i="2"/>
  <c r="G80" i="2"/>
  <c r="G81" i="2"/>
  <c r="G82" i="2"/>
  <c r="G83" i="2"/>
  <c r="G84" i="2"/>
  <c r="G85" i="2"/>
  <c r="G86" i="2"/>
  <c r="G87" i="2"/>
  <c r="G88" i="2"/>
  <c r="G89" i="2"/>
  <c r="G90" i="2"/>
  <c r="G91" i="2"/>
  <c r="G92" i="2"/>
  <c r="G93" i="2"/>
  <c r="G94" i="2"/>
  <c r="G95" i="2"/>
  <c r="G96" i="2"/>
  <c r="G97" i="2"/>
  <c r="G98" i="2"/>
  <c r="G99" i="2"/>
  <c r="G100" i="2"/>
  <c r="G101" i="2"/>
  <c r="G102" i="2"/>
  <c r="G103" i="2"/>
  <c r="G104" i="2"/>
  <c r="G105" i="2"/>
  <c r="G106" i="2"/>
  <c r="G107" i="2"/>
  <c r="G108" i="2"/>
  <c r="G109" i="2"/>
  <c r="G110" i="2"/>
  <c r="G111" i="2"/>
  <c r="G112" i="2"/>
  <c r="G113" i="2"/>
  <c r="G114" i="2"/>
  <c r="G115" i="2"/>
  <c r="G116" i="2"/>
  <c r="G117" i="2"/>
  <c r="G118" i="2"/>
  <c r="G119" i="2"/>
  <c r="G120" i="2"/>
  <c r="G121" i="2"/>
  <c r="G122" i="2"/>
  <c r="G123" i="2"/>
  <c r="G124" i="2"/>
  <c r="G125" i="2"/>
  <c r="G126" i="2"/>
  <c r="G127" i="2"/>
  <c r="G128" i="2"/>
  <c r="G129" i="2"/>
  <c r="G130" i="2"/>
  <c r="G131" i="2"/>
  <c r="G132" i="2"/>
  <c r="G133" i="2"/>
  <c r="G134" i="2"/>
  <c r="G135" i="2"/>
  <c r="G136" i="2"/>
  <c r="G137" i="2"/>
  <c r="G138" i="2"/>
  <c r="G139" i="2"/>
  <c r="G140" i="2"/>
  <c r="G141" i="2"/>
  <c r="G142" i="2"/>
  <c r="G143" i="2"/>
  <c r="G144" i="2"/>
  <c r="G145" i="2"/>
  <c r="G146" i="2"/>
  <c r="G147" i="2"/>
  <c r="G148" i="2"/>
  <c r="G149" i="2"/>
  <c r="G150" i="2"/>
  <c r="G151" i="2"/>
  <c r="G152" i="2"/>
  <c r="G153" i="2"/>
  <c r="G154" i="2"/>
  <c r="G155" i="2"/>
  <c r="G156" i="2"/>
  <c r="G157" i="2"/>
  <c r="G158" i="2"/>
  <c r="G159" i="2"/>
  <c r="G160" i="2"/>
  <c r="G161" i="2"/>
  <c r="G162" i="2"/>
  <c r="G163" i="2"/>
  <c r="G164" i="2"/>
  <c r="G165" i="2"/>
  <c r="G166" i="2"/>
  <c r="G167" i="2"/>
  <c r="G168" i="2"/>
  <c r="G169" i="2"/>
  <c r="G170" i="2"/>
  <c r="G171" i="2"/>
  <c r="G172" i="2"/>
  <c r="G173" i="2"/>
  <c r="G174" i="2"/>
  <c r="G175" i="2"/>
  <c r="G176" i="2"/>
  <c r="G177" i="2"/>
  <c r="G178" i="2"/>
  <c r="G179" i="2"/>
  <c r="G180" i="2"/>
  <c r="G181" i="2"/>
  <c r="G182" i="2"/>
  <c r="G183" i="2"/>
  <c r="G184" i="2"/>
  <c r="G185" i="2"/>
  <c r="G186" i="2"/>
  <c r="G187" i="2"/>
  <c r="G188" i="2"/>
  <c r="G189" i="2"/>
  <c r="G190" i="2"/>
  <c r="G191" i="2"/>
  <c r="G192" i="2"/>
  <c r="G193" i="2"/>
  <c r="G194" i="2"/>
  <c r="G195" i="2"/>
  <c r="G196" i="2"/>
  <c r="G197" i="2"/>
  <c r="G198" i="2"/>
  <c r="G199" i="2"/>
  <c r="G200" i="2"/>
  <c r="G201" i="2"/>
  <c r="G202" i="2"/>
  <c r="G203" i="2"/>
  <c r="G204" i="2"/>
  <c r="G205" i="2"/>
  <c r="G206" i="2"/>
  <c r="G207" i="2"/>
  <c r="G208" i="2"/>
  <c r="G209" i="2"/>
  <c r="G210" i="2"/>
  <c r="G211" i="2"/>
  <c r="G212" i="2"/>
  <c r="G213" i="2"/>
  <c r="G214" i="2"/>
  <c r="G215" i="2"/>
  <c r="G216" i="2"/>
  <c r="G217" i="2"/>
  <c r="G218" i="2"/>
  <c r="G219" i="2"/>
  <c r="G220" i="2"/>
  <c r="G221" i="2"/>
  <c r="G222" i="2"/>
  <c r="G223" i="2"/>
  <c r="G224" i="2"/>
  <c r="G225" i="2"/>
  <c r="G226" i="2"/>
  <c r="G227" i="2"/>
  <c r="G3" i="2"/>
  <c r="B50" i="6" l="1"/>
  <c r="E230" i="2"/>
  <c r="L193" i="14" l="1"/>
  <c r="N193" i="14"/>
  <c r="O193" i="14"/>
  <c r="M226" i="9"/>
  <c r="J226" i="9"/>
  <c r="G226" i="9"/>
  <c r="D226" i="9"/>
  <c r="C470" i="4"/>
  <c r="D470" i="4"/>
  <c r="L3" i="16" l="1"/>
  <c r="L4" i="16"/>
  <c r="L5" i="16"/>
  <c r="L6" i="16"/>
  <c r="L7" i="16"/>
  <c r="L8" i="16"/>
  <c r="L9" i="16"/>
  <c r="L10" i="16"/>
  <c r="L11" i="16"/>
  <c r="L12" i="16"/>
  <c r="L13" i="16"/>
  <c r="L14" i="16"/>
  <c r="L15" i="16"/>
  <c r="L16" i="16"/>
  <c r="L17" i="16"/>
  <c r="L18" i="16"/>
  <c r="L19" i="16"/>
  <c r="L20" i="16"/>
  <c r="L21" i="16"/>
  <c r="L22" i="16"/>
  <c r="L23" i="16"/>
  <c r="L24" i="16"/>
  <c r="L25" i="16"/>
  <c r="L26" i="16"/>
  <c r="L27" i="16"/>
  <c r="L28" i="16"/>
  <c r="L29" i="16"/>
  <c r="L30" i="16"/>
  <c r="L31" i="16"/>
  <c r="L32" i="16"/>
  <c r="L33" i="16"/>
  <c r="L34" i="16"/>
  <c r="L35" i="16"/>
  <c r="L36" i="16"/>
  <c r="L37" i="16"/>
  <c r="L38" i="16"/>
  <c r="L39" i="16"/>
  <c r="L40" i="16"/>
  <c r="L41" i="16"/>
  <c r="L42" i="16"/>
  <c r="L43" i="16"/>
  <c r="L44" i="16"/>
  <c r="L45" i="16"/>
  <c r="L46" i="16"/>
  <c r="L47" i="16"/>
  <c r="L48" i="16"/>
  <c r="L49" i="16"/>
  <c r="L50" i="16"/>
  <c r="L51" i="16"/>
  <c r="L52" i="16"/>
  <c r="L53" i="16"/>
  <c r="L54" i="16"/>
  <c r="L55" i="16"/>
  <c r="L56" i="16"/>
  <c r="L57" i="16"/>
  <c r="L58" i="16"/>
  <c r="L59" i="16"/>
  <c r="L60" i="16"/>
  <c r="L61" i="16"/>
  <c r="L62" i="16"/>
  <c r="L63" i="16"/>
  <c r="L64" i="16"/>
  <c r="L65" i="16"/>
  <c r="L66" i="16"/>
  <c r="L67" i="16"/>
  <c r="L68" i="16"/>
  <c r="L69" i="16"/>
  <c r="L70" i="16"/>
  <c r="L71" i="16"/>
  <c r="L72" i="16"/>
  <c r="L73" i="16"/>
  <c r="L74" i="16"/>
  <c r="L75" i="16"/>
  <c r="L76" i="16"/>
  <c r="L77" i="16"/>
  <c r="L78" i="16"/>
  <c r="L79" i="16"/>
  <c r="L80" i="16"/>
  <c r="L81" i="16"/>
  <c r="L82" i="16"/>
  <c r="L83" i="16"/>
  <c r="L84" i="16"/>
  <c r="L85" i="16"/>
  <c r="L86" i="16"/>
  <c r="L87" i="16"/>
  <c r="L88" i="16"/>
  <c r="L89" i="16"/>
  <c r="L90" i="16"/>
  <c r="L91" i="16"/>
  <c r="L92" i="16"/>
  <c r="L93" i="16"/>
  <c r="L94" i="16"/>
  <c r="L95" i="16"/>
  <c r="L96" i="16"/>
  <c r="L97" i="16"/>
  <c r="L98" i="16"/>
  <c r="L99" i="16"/>
  <c r="L100" i="16"/>
  <c r="L101" i="16"/>
  <c r="L102" i="16"/>
  <c r="L103" i="16"/>
  <c r="L104" i="16"/>
  <c r="L105" i="16"/>
  <c r="L106" i="16"/>
  <c r="L107" i="16"/>
  <c r="L108" i="16"/>
  <c r="L109" i="16"/>
  <c r="L110" i="16"/>
  <c r="L111" i="16"/>
  <c r="L112" i="16"/>
  <c r="L113" i="16"/>
  <c r="L114" i="16"/>
  <c r="L115" i="16"/>
  <c r="L116" i="16"/>
  <c r="L117" i="16"/>
  <c r="L118" i="16"/>
  <c r="L119" i="16"/>
  <c r="L120" i="16"/>
  <c r="L121" i="16"/>
  <c r="L122" i="16"/>
  <c r="L123" i="16"/>
  <c r="L124" i="16"/>
  <c r="L125" i="16"/>
  <c r="L126" i="16"/>
  <c r="L127" i="16"/>
  <c r="L128" i="16"/>
  <c r="L129" i="16"/>
  <c r="L130" i="16"/>
  <c r="L131" i="16"/>
  <c r="L132" i="16"/>
  <c r="L133" i="16"/>
  <c r="L134" i="16"/>
  <c r="L135" i="16"/>
  <c r="L136" i="16"/>
  <c r="L137" i="16"/>
  <c r="L138" i="16"/>
  <c r="L139" i="16"/>
  <c r="L140" i="16"/>
  <c r="L141" i="16"/>
  <c r="L142" i="16"/>
  <c r="L143" i="16"/>
  <c r="L144" i="16"/>
  <c r="L145" i="16"/>
  <c r="L146" i="16"/>
  <c r="L147" i="16"/>
  <c r="L148" i="16"/>
  <c r="L149" i="16"/>
  <c r="L150" i="16"/>
  <c r="L151" i="16"/>
  <c r="L152" i="16"/>
  <c r="L153" i="16"/>
  <c r="L154" i="16"/>
  <c r="L155" i="16"/>
  <c r="L156" i="16"/>
  <c r="L157" i="16"/>
  <c r="L158" i="16"/>
  <c r="L159" i="16"/>
  <c r="L160" i="16"/>
  <c r="L161" i="16"/>
  <c r="L162" i="16"/>
  <c r="L163" i="16"/>
  <c r="L164" i="16"/>
  <c r="L165" i="16"/>
  <c r="L166" i="16"/>
  <c r="L167" i="16"/>
  <c r="L168" i="16"/>
  <c r="L169" i="16"/>
  <c r="L170" i="16"/>
  <c r="L171" i="16"/>
  <c r="L172" i="16"/>
  <c r="L173" i="16"/>
  <c r="L174" i="16"/>
  <c r="L175" i="16"/>
  <c r="L176" i="16"/>
  <c r="L177" i="16"/>
  <c r="L178" i="16"/>
  <c r="L179" i="16"/>
  <c r="L180" i="16"/>
  <c r="L181" i="16"/>
  <c r="L182" i="16"/>
  <c r="L183" i="16"/>
  <c r="L184" i="16"/>
  <c r="L185" i="16"/>
  <c r="L186" i="16"/>
  <c r="L187" i="16"/>
  <c r="L188" i="16"/>
  <c r="L189" i="16"/>
  <c r="L190" i="16"/>
  <c r="L191" i="16"/>
  <c r="L192" i="16"/>
  <c r="L193" i="16"/>
  <c r="L194" i="16"/>
  <c r="L195" i="16"/>
  <c r="L196" i="16"/>
  <c r="L197" i="16"/>
  <c r="L198" i="16"/>
  <c r="L199" i="16"/>
  <c r="L200" i="16"/>
  <c r="L201" i="16"/>
  <c r="L202" i="16"/>
  <c r="L203" i="16"/>
  <c r="L204" i="16"/>
  <c r="L205" i="16"/>
  <c r="L206" i="16"/>
  <c r="L207" i="16"/>
  <c r="L208" i="16"/>
  <c r="L209" i="16"/>
  <c r="L210" i="16"/>
  <c r="L211" i="16"/>
  <c r="L212" i="16"/>
  <c r="L213" i="16"/>
  <c r="L214" i="16"/>
  <c r="L215" i="16"/>
  <c r="L216" i="16"/>
  <c r="L217" i="16"/>
  <c r="L218" i="16"/>
  <c r="L219" i="16"/>
  <c r="L220" i="16"/>
  <c r="L221" i="16"/>
  <c r="L222" i="16"/>
  <c r="L223" i="16"/>
  <c r="L224" i="16"/>
  <c r="L2" i="16"/>
  <c r="I3" i="16"/>
  <c r="I4" i="16"/>
  <c r="I5" i="16"/>
  <c r="I6" i="16"/>
  <c r="I7" i="16"/>
  <c r="I8" i="16"/>
  <c r="I9" i="16"/>
  <c r="I10" i="16"/>
  <c r="I11" i="16"/>
  <c r="I12" i="16"/>
  <c r="I13" i="16"/>
  <c r="I14" i="16"/>
  <c r="I15" i="16"/>
  <c r="I16" i="16"/>
  <c r="I17" i="16"/>
  <c r="I18" i="16"/>
  <c r="I19" i="16"/>
  <c r="I20" i="16"/>
  <c r="I21" i="16"/>
  <c r="I22" i="16"/>
  <c r="I23" i="16"/>
  <c r="I24" i="16"/>
  <c r="I25" i="16"/>
  <c r="I26" i="16"/>
  <c r="I27" i="16"/>
  <c r="I28" i="16"/>
  <c r="I29" i="16"/>
  <c r="I30" i="16"/>
  <c r="I31" i="16"/>
  <c r="I32" i="16"/>
  <c r="I33" i="16"/>
  <c r="I34" i="16"/>
  <c r="I35" i="16"/>
  <c r="I36" i="16"/>
  <c r="I37" i="16"/>
  <c r="I38" i="16"/>
  <c r="I39" i="16"/>
  <c r="I40" i="16"/>
  <c r="I41" i="16"/>
  <c r="I42" i="16"/>
  <c r="I43" i="16"/>
  <c r="I44" i="16"/>
  <c r="I45" i="16"/>
  <c r="I46" i="16"/>
  <c r="I47" i="16"/>
  <c r="I48" i="16"/>
  <c r="I49" i="16"/>
  <c r="I50" i="16"/>
  <c r="I51" i="16"/>
  <c r="I52" i="16"/>
  <c r="I53" i="16"/>
  <c r="I54" i="16"/>
  <c r="I55" i="16"/>
  <c r="I56" i="16"/>
  <c r="I57" i="16"/>
  <c r="I58" i="16"/>
  <c r="I59" i="16"/>
  <c r="I60" i="16"/>
  <c r="I61" i="16"/>
  <c r="I62" i="16"/>
  <c r="I63" i="16"/>
  <c r="I64" i="16"/>
  <c r="I65" i="16"/>
  <c r="I66" i="16"/>
  <c r="I67" i="16"/>
  <c r="I68" i="16"/>
  <c r="I69" i="16"/>
  <c r="I70" i="16"/>
  <c r="I71" i="16"/>
  <c r="I72" i="16"/>
  <c r="I73" i="16"/>
  <c r="I74" i="16"/>
  <c r="I75" i="16"/>
  <c r="I76" i="16"/>
  <c r="I77" i="16"/>
  <c r="I78" i="16"/>
  <c r="I79" i="16"/>
  <c r="I80" i="16"/>
  <c r="I81" i="16"/>
  <c r="I82" i="16"/>
  <c r="I83" i="16"/>
  <c r="I84" i="16"/>
  <c r="I85" i="16"/>
  <c r="I86" i="16"/>
  <c r="I87" i="16"/>
  <c r="I88" i="16"/>
  <c r="I89" i="16"/>
  <c r="I90" i="16"/>
  <c r="I91" i="16"/>
  <c r="I92" i="16"/>
  <c r="I93" i="16"/>
  <c r="I94" i="16"/>
  <c r="I95" i="16"/>
  <c r="I96" i="16"/>
  <c r="I97" i="16"/>
  <c r="I98" i="16"/>
  <c r="I99" i="16"/>
  <c r="I100" i="16"/>
  <c r="I101" i="16"/>
  <c r="I102" i="16"/>
  <c r="I103" i="16"/>
  <c r="I104" i="16"/>
  <c r="I105" i="16"/>
  <c r="I106" i="16"/>
  <c r="I107" i="16"/>
  <c r="I108" i="16"/>
  <c r="I109" i="16"/>
  <c r="I110" i="16"/>
  <c r="I111" i="16"/>
  <c r="I112" i="16"/>
  <c r="I113" i="16"/>
  <c r="I114" i="16"/>
  <c r="I115" i="16"/>
  <c r="I116" i="16"/>
  <c r="I117" i="16"/>
  <c r="I118" i="16"/>
  <c r="I119" i="16"/>
  <c r="I120" i="16"/>
  <c r="I121" i="16"/>
  <c r="I122" i="16"/>
  <c r="I123" i="16"/>
  <c r="I124" i="16"/>
  <c r="I125" i="16"/>
  <c r="I126" i="16"/>
  <c r="I127" i="16"/>
  <c r="I128" i="16"/>
  <c r="I129" i="16"/>
  <c r="I130" i="16"/>
  <c r="I131" i="16"/>
  <c r="I132" i="16"/>
  <c r="I133" i="16"/>
  <c r="I134" i="16"/>
  <c r="I135" i="16"/>
  <c r="I136" i="16"/>
  <c r="I137" i="16"/>
  <c r="I138" i="16"/>
  <c r="I139" i="16"/>
  <c r="I140" i="16"/>
  <c r="I141" i="16"/>
  <c r="I142" i="16"/>
  <c r="I143" i="16"/>
  <c r="I144" i="16"/>
  <c r="I145" i="16"/>
  <c r="I146" i="16"/>
  <c r="I147" i="16"/>
  <c r="I148" i="16"/>
  <c r="I149" i="16"/>
  <c r="I150" i="16"/>
  <c r="I151" i="16"/>
  <c r="I152" i="16"/>
  <c r="I153" i="16"/>
  <c r="I154" i="16"/>
  <c r="I155" i="16"/>
  <c r="I156" i="16"/>
  <c r="I157" i="16"/>
  <c r="I158" i="16"/>
  <c r="I159" i="16"/>
  <c r="I160" i="16"/>
  <c r="I161" i="16"/>
  <c r="I162" i="16"/>
  <c r="I163" i="16"/>
  <c r="I164" i="16"/>
  <c r="I165" i="16"/>
  <c r="I166" i="16"/>
  <c r="I167" i="16"/>
  <c r="I168" i="16"/>
  <c r="I169" i="16"/>
  <c r="I170" i="16"/>
  <c r="I171" i="16"/>
  <c r="I172" i="16"/>
  <c r="I173" i="16"/>
  <c r="I174" i="16"/>
  <c r="I175" i="16"/>
  <c r="I176" i="16"/>
  <c r="I177" i="16"/>
  <c r="I178" i="16"/>
  <c r="I179" i="16"/>
  <c r="I180" i="16"/>
  <c r="I181" i="16"/>
  <c r="I182" i="16"/>
  <c r="I183" i="16"/>
  <c r="I184" i="16"/>
  <c r="I185" i="16"/>
  <c r="I186" i="16"/>
  <c r="I187" i="16"/>
  <c r="I188" i="16"/>
  <c r="I189" i="16"/>
  <c r="I190" i="16"/>
  <c r="I191" i="16"/>
  <c r="I192" i="16"/>
  <c r="I193" i="16"/>
  <c r="I194" i="16"/>
  <c r="I195" i="16"/>
  <c r="I196" i="16"/>
  <c r="I197" i="16"/>
  <c r="I198" i="16"/>
  <c r="I199" i="16"/>
  <c r="I200" i="16"/>
  <c r="I201" i="16"/>
  <c r="I202" i="16"/>
  <c r="I203" i="16"/>
  <c r="I204" i="16"/>
  <c r="I205" i="16"/>
  <c r="I206" i="16"/>
  <c r="I207" i="16"/>
  <c r="I208" i="16"/>
  <c r="I209" i="16"/>
  <c r="I210" i="16"/>
  <c r="I211" i="16"/>
  <c r="I212" i="16"/>
  <c r="I213" i="16"/>
  <c r="I214" i="16"/>
  <c r="I215" i="16"/>
  <c r="I216" i="16"/>
  <c r="I217" i="16"/>
  <c r="I218" i="16"/>
  <c r="I219" i="16"/>
  <c r="I220" i="16"/>
  <c r="I221" i="16"/>
  <c r="I222" i="16"/>
  <c r="I223" i="16"/>
  <c r="I224" i="16"/>
  <c r="I2" i="16"/>
  <c r="C3" i="16" l="1"/>
  <c r="C4" i="16"/>
  <c r="C5" i="16"/>
  <c r="C6" i="16"/>
  <c r="C7" i="16"/>
  <c r="C8" i="16"/>
  <c r="C9" i="16"/>
  <c r="C10" i="16"/>
  <c r="C11" i="16"/>
  <c r="C12" i="16"/>
  <c r="C13" i="16"/>
  <c r="C14" i="16"/>
  <c r="C15" i="16"/>
  <c r="C16" i="16"/>
  <c r="C17" i="16"/>
  <c r="C18" i="16"/>
  <c r="C19" i="16"/>
  <c r="C20" i="16"/>
  <c r="C21" i="16"/>
  <c r="C22" i="16"/>
  <c r="C23" i="16"/>
  <c r="C24" i="16"/>
  <c r="C25" i="16"/>
  <c r="C26" i="16"/>
  <c r="C27" i="16"/>
  <c r="C28" i="16"/>
  <c r="C29" i="16"/>
  <c r="C30" i="16"/>
  <c r="C31" i="16"/>
  <c r="C32" i="16"/>
  <c r="C33" i="16"/>
  <c r="C34" i="16"/>
  <c r="C35" i="16"/>
  <c r="C36" i="16"/>
  <c r="C37" i="16"/>
  <c r="C38" i="16"/>
  <c r="C39" i="16"/>
  <c r="C40" i="16"/>
  <c r="C41" i="16"/>
  <c r="C42" i="16"/>
  <c r="C43" i="16"/>
  <c r="C44" i="16"/>
  <c r="C45" i="16"/>
  <c r="C46" i="16"/>
  <c r="C47" i="16"/>
  <c r="C48" i="16"/>
  <c r="C49" i="16"/>
  <c r="C50" i="16"/>
  <c r="C51" i="16"/>
  <c r="C52" i="16"/>
  <c r="C53" i="16"/>
  <c r="C54" i="16"/>
  <c r="C55" i="16"/>
  <c r="C56" i="16"/>
  <c r="C57" i="16"/>
  <c r="C58" i="16"/>
  <c r="C59" i="16"/>
  <c r="C60" i="16"/>
  <c r="C61" i="16"/>
  <c r="C62" i="16"/>
  <c r="C63" i="16"/>
  <c r="C64" i="16"/>
  <c r="C65" i="16"/>
  <c r="C66" i="16"/>
  <c r="C67" i="16"/>
  <c r="C68" i="16"/>
  <c r="C69" i="16"/>
  <c r="C70" i="16"/>
  <c r="C71" i="16"/>
  <c r="C72" i="16"/>
  <c r="C73" i="16"/>
  <c r="C74" i="16"/>
  <c r="C75" i="16"/>
  <c r="C76" i="16"/>
  <c r="C77" i="16"/>
  <c r="C78" i="16"/>
  <c r="C79" i="16"/>
  <c r="C80" i="16"/>
  <c r="C81" i="16"/>
  <c r="C82" i="16"/>
  <c r="C83" i="16"/>
  <c r="C84" i="16"/>
  <c r="C85" i="16"/>
  <c r="C86" i="16"/>
  <c r="C87" i="16"/>
  <c r="C88" i="16"/>
  <c r="C89" i="16"/>
  <c r="C90" i="16"/>
  <c r="C91" i="16"/>
  <c r="C92" i="16"/>
  <c r="C93" i="16"/>
  <c r="C94" i="16"/>
  <c r="C95" i="16"/>
  <c r="C96" i="16"/>
  <c r="C97" i="16"/>
  <c r="C98" i="16"/>
  <c r="C99" i="16"/>
  <c r="C100" i="16"/>
  <c r="C101" i="16"/>
  <c r="C102" i="16"/>
  <c r="C103" i="16"/>
  <c r="C104" i="16"/>
  <c r="C105" i="16"/>
  <c r="C106" i="16"/>
  <c r="C107" i="16"/>
  <c r="C108" i="16"/>
  <c r="C109" i="16"/>
  <c r="C110" i="16"/>
  <c r="C111" i="16"/>
  <c r="C112" i="16"/>
  <c r="C113" i="16"/>
  <c r="C114" i="16"/>
  <c r="C115" i="16"/>
  <c r="C116" i="16"/>
  <c r="C117" i="16"/>
  <c r="C118" i="16"/>
  <c r="C119" i="16"/>
  <c r="C120" i="16"/>
  <c r="C121" i="16"/>
  <c r="C122" i="16"/>
  <c r="C123" i="16"/>
  <c r="C124" i="16"/>
  <c r="C125" i="16"/>
  <c r="C126" i="16"/>
  <c r="C127" i="16"/>
  <c r="C128" i="16"/>
  <c r="C129" i="16"/>
  <c r="C130" i="16"/>
  <c r="C131" i="16"/>
  <c r="C132" i="16"/>
  <c r="C133" i="16"/>
  <c r="C134" i="16"/>
  <c r="C135" i="16"/>
  <c r="C136" i="16"/>
  <c r="C137" i="16"/>
  <c r="C138" i="16"/>
  <c r="C139" i="16"/>
  <c r="C140" i="16"/>
  <c r="C141" i="16"/>
  <c r="C142" i="16"/>
  <c r="C143" i="16"/>
  <c r="C144" i="16"/>
  <c r="C145" i="16"/>
  <c r="C146" i="16"/>
  <c r="C147" i="16"/>
  <c r="C148" i="16"/>
  <c r="C149" i="16"/>
  <c r="C150" i="16"/>
  <c r="C151" i="16"/>
  <c r="C152" i="16"/>
  <c r="C153" i="16"/>
  <c r="C154" i="16"/>
  <c r="C155" i="16"/>
  <c r="C156" i="16"/>
  <c r="C157" i="16"/>
  <c r="C158" i="16"/>
  <c r="C159" i="16"/>
  <c r="C160" i="16"/>
  <c r="C161" i="16"/>
  <c r="C162" i="16"/>
  <c r="C163" i="16"/>
  <c r="C164" i="16"/>
  <c r="C165" i="16"/>
  <c r="C166" i="16"/>
  <c r="C167" i="16"/>
  <c r="C168" i="16"/>
  <c r="C169" i="16"/>
  <c r="C170" i="16"/>
  <c r="C171" i="16"/>
  <c r="C172" i="16"/>
  <c r="C173" i="16"/>
  <c r="C174" i="16"/>
  <c r="C175" i="16"/>
  <c r="C176" i="16"/>
  <c r="C177" i="16"/>
  <c r="C178" i="16"/>
  <c r="C179" i="16"/>
  <c r="C180" i="16"/>
  <c r="C181" i="16"/>
  <c r="C182" i="16"/>
  <c r="C183" i="16"/>
  <c r="C184" i="16"/>
  <c r="C185" i="16"/>
  <c r="C186" i="16"/>
  <c r="C187" i="16"/>
  <c r="C188" i="16"/>
  <c r="C189" i="16"/>
  <c r="C190" i="16"/>
  <c r="C191" i="16"/>
  <c r="C192" i="16"/>
  <c r="C193" i="16"/>
  <c r="C194" i="16"/>
  <c r="C195" i="16"/>
  <c r="C196" i="16"/>
  <c r="C197" i="16"/>
  <c r="C198" i="16"/>
  <c r="C199" i="16"/>
  <c r="C200" i="16"/>
  <c r="C201" i="16"/>
  <c r="C202" i="16"/>
  <c r="C203" i="16"/>
  <c r="C204" i="16"/>
  <c r="C205" i="16"/>
  <c r="C206" i="16"/>
  <c r="C207" i="16"/>
  <c r="C208" i="16"/>
  <c r="C209" i="16"/>
  <c r="C210" i="16"/>
  <c r="C211" i="16"/>
  <c r="C212" i="16"/>
  <c r="C213" i="16"/>
  <c r="C214" i="16"/>
  <c r="C215" i="16"/>
  <c r="C216" i="16"/>
  <c r="C217" i="16"/>
  <c r="C218" i="16"/>
  <c r="C219" i="16"/>
  <c r="C220" i="16"/>
  <c r="C221" i="16"/>
  <c r="C222" i="16"/>
  <c r="C223" i="16"/>
  <c r="C224" i="16"/>
  <c r="C2" i="16"/>
  <c r="B3" i="16"/>
  <c r="B4" i="16"/>
  <c r="B5" i="16"/>
  <c r="B6" i="16"/>
  <c r="B7" i="16"/>
  <c r="B8" i="16"/>
  <c r="B9" i="16"/>
  <c r="B10" i="16"/>
  <c r="B11" i="16"/>
  <c r="B12" i="16"/>
  <c r="B13" i="16"/>
  <c r="B14" i="16"/>
  <c r="B15" i="16"/>
  <c r="B16" i="16"/>
  <c r="B17" i="16"/>
  <c r="B18" i="16"/>
  <c r="B19" i="16"/>
  <c r="B20" i="16"/>
  <c r="B21" i="16"/>
  <c r="B22" i="16"/>
  <c r="B23" i="16"/>
  <c r="B24" i="16"/>
  <c r="B25" i="16"/>
  <c r="B26" i="16"/>
  <c r="B27" i="16"/>
  <c r="B28" i="16"/>
  <c r="B29" i="16"/>
  <c r="B30" i="16"/>
  <c r="B31" i="16"/>
  <c r="B32" i="16"/>
  <c r="B33" i="16"/>
  <c r="B34" i="16"/>
  <c r="B35" i="16"/>
  <c r="B36" i="16"/>
  <c r="B37" i="16"/>
  <c r="B38" i="16"/>
  <c r="B39" i="16"/>
  <c r="B40" i="16"/>
  <c r="B41" i="16"/>
  <c r="B42" i="16"/>
  <c r="B43" i="16"/>
  <c r="B44" i="16"/>
  <c r="B45" i="16"/>
  <c r="B46" i="16"/>
  <c r="B47" i="16"/>
  <c r="B48" i="16"/>
  <c r="B49" i="16"/>
  <c r="B50" i="16"/>
  <c r="B51" i="16"/>
  <c r="B52" i="16"/>
  <c r="B53" i="16"/>
  <c r="B54" i="16"/>
  <c r="B55" i="16"/>
  <c r="B56" i="16"/>
  <c r="B57" i="16"/>
  <c r="B58" i="16"/>
  <c r="B59" i="16"/>
  <c r="B60" i="16"/>
  <c r="B61" i="16"/>
  <c r="B62" i="16"/>
  <c r="B63" i="16"/>
  <c r="B64" i="16"/>
  <c r="B65" i="16"/>
  <c r="B66" i="16"/>
  <c r="B67" i="16"/>
  <c r="B68" i="16"/>
  <c r="B69" i="16"/>
  <c r="B70" i="16"/>
  <c r="B71" i="16"/>
  <c r="B72" i="16"/>
  <c r="B73" i="16"/>
  <c r="B74" i="16"/>
  <c r="B75" i="16"/>
  <c r="B76" i="16"/>
  <c r="B77" i="16"/>
  <c r="B78" i="16"/>
  <c r="B79" i="16"/>
  <c r="B80" i="16"/>
  <c r="B81" i="16"/>
  <c r="B82" i="16"/>
  <c r="B83" i="16"/>
  <c r="B84" i="16"/>
  <c r="B85" i="16"/>
  <c r="B86" i="16"/>
  <c r="B87" i="16"/>
  <c r="B88" i="16"/>
  <c r="B89" i="16"/>
  <c r="B90" i="16"/>
  <c r="B91" i="16"/>
  <c r="B92" i="16"/>
  <c r="B93" i="16"/>
  <c r="B94" i="16"/>
  <c r="B95" i="16"/>
  <c r="B96" i="16"/>
  <c r="B97" i="16"/>
  <c r="B98" i="16"/>
  <c r="B99" i="16"/>
  <c r="B100" i="16"/>
  <c r="B101" i="16"/>
  <c r="B102" i="16"/>
  <c r="B103" i="16"/>
  <c r="B104" i="16"/>
  <c r="B105" i="16"/>
  <c r="B106" i="16"/>
  <c r="B107" i="16"/>
  <c r="B108" i="16"/>
  <c r="B109" i="16"/>
  <c r="B110" i="16"/>
  <c r="B111" i="16"/>
  <c r="B112" i="16"/>
  <c r="B113" i="16"/>
  <c r="B114" i="16"/>
  <c r="B115" i="16"/>
  <c r="B116" i="16"/>
  <c r="B117" i="16"/>
  <c r="B118" i="16"/>
  <c r="B119" i="16"/>
  <c r="B120" i="16"/>
  <c r="B121" i="16"/>
  <c r="B122" i="16"/>
  <c r="B123" i="16"/>
  <c r="B124" i="16"/>
  <c r="B125" i="16"/>
  <c r="B126" i="16"/>
  <c r="B127" i="16"/>
  <c r="B128" i="16"/>
  <c r="B129" i="16"/>
  <c r="B130" i="16"/>
  <c r="B131" i="16"/>
  <c r="B132" i="16"/>
  <c r="B133" i="16"/>
  <c r="B134" i="16"/>
  <c r="B135" i="16"/>
  <c r="B136" i="16"/>
  <c r="B137" i="16"/>
  <c r="B138" i="16"/>
  <c r="B139" i="16"/>
  <c r="B140" i="16"/>
  <c r="B141" i="16"/>
  <c r="B142" i="16"/>
  <c r="B143" i="16"/>
  <c r="B144" i="16"/>
  <c r="B145" i="16"/>
  <c r="B146" i="16"/>
  <c r="B147" i="16"/>
  <c r="B148" i="16"/>
  <c r="B149" i="16"/>
  <c r="B150" i="16"/>
  <c r="B151" i="16"/>
  <c r="B152" i="16"/>
  <c r="B153" i="16"/>
  <c r="B154" i="16"/>
  <c r="B155" i="16"/>
  <c r="B156" i="16"/>
  <c r="B157" i="16"/>
  <c r="B158" i="16"/>
  <c r="B159" i="16"/>
  <c r="B160" i="16"/>
  <c r="B161" i="16"/>
  <c r="B162" i="16"/>
  <c r="B163" i="16"/>
  <c r="B164" i="16"/>
  <c r="B165" i="16"/>
  <c r="B166" i="16"/>
  <c r="B167" i="16"/>
  <c r="B168" i="16"/>
  <c r="B169" i="16"/>
  <c r="B170" i="16"/>
  <c r="B171" i="16"/>
  <c r="B172" i="16"/>
  <c r="B173" i="16"/>
  <c r="B174" i="16"/>
  <c r="B175" i="16"/>
  <c r="B176" i="16"/>
  <c r="B177" i="16"/>
  <c r="B178" i="16"/>
  <c r="B179" i="16"/>
  <c r="B180" i="16"/>
  <c r="B181" i="16"/>
  <c r="B182" i="16"/>
  <c r="B183" i="16"/>
  <c r="B184" i="16"/>
  <c r="B185" i="16"/>
  <c r="B186" i="16"/>
  <c r="B187" i="16"/>
  <c r="B188" i="16"/>
  <c r="B189" i="16"/>
  <c r="B190" i="16"/>
  <c r="B191" i="16"/>
  <c r="B192" i="16"/>
  <c r="B193" i="16"/>
  <c r="B194" i="16"/>
  <c r="B195" i="16"/>
  <c r="B196" i="16"/>
  <c r="B197" i="16"/>
  <c r="B198" i="16"/>
  <c r="B199" i="16"/>
  <c r="B200" i="16"/>
  <c r="B201" i="16"/>
  <c r="B202" i="16"/>
  <c r="B203" i="16"/>
  <c r="B204" i="16"/>
  <c r="B205" i="16"/>
  <c r="B206" i="16"/>
  <c r="B207" i="16"/>
  <c r="B208" i="16"/>
  <c r="B209" i="16"/>
  <c r="B210" i="16"/>
  <c r="B211" i="16"/>
  <c r="B212" i="16"/>
  <c r="B213" i="16"/>
  <c r="B214" i="16"/>
  <c r="B215" i="16"/>
  <c r="B216" i="16"/>
  <c r="B217" i="16"/>
  <c r="B218" i="16"/>
  <c r="B219" i="16"/>
  <c r="B220" i="16"/>
  <c r="B221" i="16"/>
  <c r="B222" i="16"/>
  <c r="B223" i="16"/>
  <c r="B224" i="16"/>
  <c r="B2" i="16"/>
  <c r="I8" i="2" l="1"/>
  <c r="I5" i="2"/>
  <c r="I56" i="2"/>
  <c r="I53" i="2"/>
  <c r="I15" i="2"/>
  <c r="I16" i="2"/>
  <c r="I12" i="2"/>
  <c r="I17" i="2"/>
  <c r="I19" i="2"/>
  <c r="I13" i="2"/>
  <c r="I14" i="2"/>
  <c r="I4" i="2"/>
  <c r="I11" i="2"/>
  <c r="I10" i="2"/>
  <c r="I18" i="2"/>
  <c r="I9" i="2"/>
  <c r="I20" i="2"/>
  <c r="I21" i="2"/>
  <c r="I32" i="2"/>
  <c r="I7" i="2"/>
  <c r="I38" i="2"/>
  <c r="I40" i="2"/>
  <c r="I45" i="2"/>
  <c r="I27" i="2"/>
  <c r="I48" i="2"/>
  <c r="I49" i="2"/>
  <c r="I50" i="2"/>
  <c r="I51" i="2"/>
  <c r="I52" i="2"/>
  <c r="I54" i="2"/>
  <c r="I34" i="2"/>
  <c r="I35" i="2"/>
  <c r="I36" i="2"/>
  <c r="I43" i="2"/>
  <c r="I24" i="2"/>
  <c r="I41" i="2"/>
  <c r="I26" i="2"/>
  <c r="I23" i="2"/>
  <c r="I28" i="2"/>
  <c r="I39" i="2"/>
  <c r="I31" i="2"/>
  <c r="I30" i="2"/>
  <c r="I46" i="2"/>
  <c r="I47" i="2"/>
  <c r="I55" i="2"/>
  <c r="I33" i="2"/>
  <c r="I42" i="2"/>
  <c r="I37" i="2"/>
  <c r="I44" i="2"/>
  <c r="I22" i="2"/>
  <c r="I6" i="2"/>
  <c r="I25" i="2"/>
  <c r="I29" i="2"/>
  <c r="I103" i="2"/>
  <c r="I83" i="2"/>
  <c r="I82" i="2"/>
  <c r="I80" i="2"/>
  <c r="I84" i="2"/>
  <c r="I87" i="2"/>
  <c r="I88" i="2"/>
  <c r="I68" i="2"/>
  <c r="I70" i="2"/>
  <c r="I73" i="2"/>
  <c r="I69" i="2"/>
  <c r="I81" i="2"/>
  <c r="I79" i="2"/>
  <c r="I75" i="2"/>
  <c r="I76" i="2"/>
  <c r="I86" i="2"/>
  <c r="I63" i="2"/>
  <c r="I74" i="2"/>
  <c r="I60" i="2"/>
  <c r="I67" i="2"/>
  <c r="I71" i="2"/>
  <c r="I85" i="2"/>
  <c r="I65" i="2"/>
  <c r="I78" i="2"/>
  <c r="I64" i="2"/>
  <c r="I59" i="2"/>
  <c r="I62" i="2"/>
  <c r="I61" i="2"/>
  <c r="I77" i="2"/>
  <c r="I58" i="2"/>
  <c r="I72" i="2"/>
  <c r="I66" i="2"/>
  <c r="I90" i="2"/>
  <c r="I92" i="2"/>
  <c r="I91" i="2"/>
  <c r="I94" i="2"/>
  <c r="I93" i="2"/>
  <c r="I116" i="2"/>
  <c r="I134" i="2"/>
  <c r="I96" i="2"/>
  <c r="I97" i="2"/>
  <c r="I98" i="2"/>
  <c r="I89" i="2"/>
  <c r="I102" i="2"/>
  <c r="I100" i="2"/>
  <c r="I57" i="2"/>
  <c r="I101" i="2"/>
  <c r="I104" i="2"/>
  <c r="I107" i="2"/>
  <c r="I106" i="2"/>
  <c r="I115" i="2"/>
  <c r="I108" i="2"/>
  <c r="I109" i="2"/>
  <c r="I110" i="2"/>
  <c r="I111" i="2"/>
  <c r="I112" i="2"/>
  <c r="I95" i="2"/>
  <c r="I114" i="2"/>
  <c r="I105" i="2"/>
  <c r="I117" i="2"/>
  <c r="I99" i="2"/>
  <c r="I118" i="2"/>
  <c r="I119" i="2"/>
  <c r="I120" i="2"/>
  <c r="I121" i="2"/>
  <c r="I122" i="2"/>
  <c r="I123" i="2"/>
  <c r="I124" i="2"/>
  <c r="I125" i="2"/>
  <c r="I126" i="2"/>
  <c r="I127" i="2"/>
  <c r="I128" i="2"/>
  <c r="I129" i="2"/>
  <c r="I130" i="2"/>
  <c r="I131" i="2"/>
  <c r="I132" i="2"/>
  <c r="I133" i="2"/>
  <c r="I113" i="2"/>
  <c r="I135" i="2"/>
  <c r="I136" i="2"/>
  <c r="I137" i="2"/>
  <c r="I138" i="2"/>
  <c r="I139" i="2"/>
  <c r="I140" i="2"/>
  <c r="I141" i="2"/>
  <c r="I142" i="2"/>
  <c r="I143" i="2"/>
  <c r="I144" i="2"/>
  <c r="I145" i="2"/>
  <c r="I146" i="2"/>
  <c r="I147" i="2"/>
  <c r="I148" i="2"/>
  <c r="I149" i="2"/>
  <c r="I150" i="2"/>
  <c r="I151" i="2"/>
  <c r="I152" i="2"/>
  <c r="I153" i="2"/>
  <c r="I154" i="2"/>
  <c r="I155" i="2"/>
  <c r="I156" i="2"/>
  <c r="I157" i="2"/>
  <c r="I158" i="2"/>
  <c r="I159" i="2"/>
  <c r="I160" i="2"/>
  <c r="I161" i="2"/>
  <c r="I162" i="2"/>
  <c r="I163" i="2"/>
  <c r="I164" i="2"/>
  <c r="I165" i="2"/>
  <c r="I166" i="2"/>
  <c r="I167" i="2"/>
  <c r="I168" i="2"/>
  <c r="I169" i="2"/>
  <c r="I170" i="2"/>
  <c r="I171" i="2"/>
  <c r="I172" i="2"/>
  <c r="I173" i="2"/>
  <c r="I174" i="2"/>
  <c r="I175" i="2"/>
  <c r="I177" i="2"/>
  <c r="I176" i="2"/>
  <c r="I178" i="2"/>
  <c r="I179" i="2"/>
  <c r="I181" i="2"/>
  <c r="I180" i="2"/>
  <c r="I182" i="2"/>
  <c r="I183" i="2"/>
  <c r="I184" i="2"/>
  <c r="I185" i="2"/>
  <c r="I186" i="2"/>
  <c r="I187" i="2"/>
  <c r="I188" i="2"/>
  <c r="I189" i="2"/>
  <c r="I192" i="2"/>
  <c r="I191" i="2"/>
  <c r="I190" i="2"/>
  <c r="I193" i="2"/>
  <c r="I194" i="2"/>
  <c r="I195" i="2"/>
  <c r="I196" i="2"/>
  <c r="I205" i="2"/>
  <c r="I199" i="2"/>
  <c r="I197" i="2"/>
  <c r="I198" i="2"/>
  <c r="I201" i="2"/>
  <c r="I202" i="2"/>
  <c r="I203" i="2"/>
  <c r="I204" i="2"/>
  <c r="I200" i="2"/>
  <c r="I206" i="2"/>
  <c r="I207" i="2"/>
  <c r="I208" i="2"/>
  <c r="I209" i="2"/>
  <c r="I210" i="2"/>
  <c r="I211" i="2"/>
  <c r="I212" i="2"/>
  <c r="I214" i="2"/>
  <c r="I213" i="2"/>
  <c r="I215" i="2"/>
  <c r="I221" i="2"/>
  <c r="I220" i="2"/>
  <c r="I223" i="2"/>
  <c r="I217" i="2"/>
  <c r="I219" i="2"/>
  <c r="I216" i="2"/>
  <c r="I222" i="2"/>
  <c r="I218" i="2"/>
  <c r="I224" i="2"/>
  <c r="I225" i="2"/>
  <c r="I226" i="2"/>
  <c r="I227" i="2"/>
  <c r="I3" i="2"/>
  <c r="V118" i="15" l="1"/>
  <c r="AG118" i="15"/>
  <c r="E129" i="15"/>
  <c r="O129" i="15"/>
  <c r="P54" i="9" l="1"/>
  <c r="S54" i="9" s="1"/>
  <c r="C54" i="9"/>
  <c r="B54" i="9"/>
  <c r="R54" i="9" l="1"/>
  <c r="K54" i="9"/>
  <c r="P3" i="9"/>
  <c r="S3" i="9" s="1"/>
  <c r="P4" i="9"/>
  <c r="S4" i="9" s="1"/>
  <c r="P5" i="9"/>
  <c r="S5" i="9" s="1"/>
  <c r="P6" i="9"/>
  <c r="S6" i="9" s="1"/>
  <c r="P7" i="9"/>
  <c r="S7" i="9" s="1"/>
  <c r="P8" i="9"/>
  <c r="S8" i="9" s="1"/>
  <c r="P9" i="9"/>
  <c r="S9" i="9" s="1"/>
  <c r="P10" i="9"/>
  <c r="S10" i="9" s="1"/>
  <c r="P11" i="9"/>
  <c r="S11" i="9" s="1"/>
  <c r="P12" i="9"/>
  <c r="S12" i="9" s="1"/>
  <c r="P13" i="9"/>
  <c r="S13" i="9" s="1"/>
  <c r="P14" i="9"/>
  <c r="S14" i="9" s="1"/>
  <c r="P15" i="9"/>
  <c r="S15" i="9" s="1"/>
  <c r="P16" i="9"/>
  <c r="S16" i="9" s="1"/>
  <c r="P17" i="9"/>
  <c r="S17" i="9" s="1"/>
  <c r="P18" i="9"/>
  <c r="S18" i="9" s="1"/>
  <c r="P19" i="9"/>
  <c r="S19" i="9" s="1"/>
  <c r="P20" i="9"/>
  <c r="S20" i="9" s="1"/>
  <c r="P21" i="9"/>
  <c r="S21" i="9" s="1"/>
  <c r="P22" i="9"/>
  <c r="S22" i="9" s="1"/>
  <c r="P23" i="9"/>
  <c r="S23" i="9" s="1"/>
  <c r="P24" i="9"/>
  <c r="S24" i="9" s="1"/>
  <c r="P25" i="9"/>
  <c r="S25" i="9" s="1"/>
  <c r="P26" i="9"/>
  <c r="S26" i="9" s="1"/>
  <c r="P27" i="9"/>
  <c r="S27" i="9" s="1"/>
  <c r="P28" i="9"/>
  <c r="S28" i="9" s="1"/>
  <c r="P29" i="9"/>
  <c r="S29" i="9" s="1"/>
  <c r="P30" i="9"/>
  <c r="S30" i="9" s="1"/>
  <c r="P31" i="9"/>
  <c r="S31" i="9" s="1"/>
  <c r="P32" i="9"/>
  <c r="S32" i="9" s="1"/>
  <c r="P33" i="9"/>
  <c r="S33" i="9" s="1"/>
  <c r="P34" i="9"/>
  <c r="S34" i="9" s="1"/>
  <c r="P35" i="9"/>
  <c r="S35" i="9" s="1"/>
  <c r="P36" i="9"/>
  <c r="S36" i="9" s="1"/>
  <c r="P37" i="9"/>
  <c r="S37" i="9" s="1"/>
  <c r="P38" i="9"/>
  <c r="S38" i="9" s="1"/>
  <c r="P39" i="9"/>
  <c r="S39" i="9" s="1"/>
  <c r="P40" i="9"/>
  <c r="S40" i="9" s="1"/>
  <c r="P41" i="9"/>
  <c r="S41" i="9" s="1"/>
  <c r="P42" i="9"/>
  <c r="S42" i="9" s="1"/>
  <c r="P43" i="9"/>
  <c r="S43" i="9" s="1"/>
  <c r="P44" i="9"/>
  <c r="S44" i="9" s="1"/>
  <c r="P45" i="9"/>
  <c r="S45" i="9" s="1"/>
  <c r="P46" i="9"/>
  <c r="S46" i="9" s="1"/>
  <c r="P47" i="9"/>
  <c r="S47" i="9" s="1"/>
  <c r="P48" i="9"/>
  <c r="S48" i="9" s="1"/>
  <c r="P49" i="9"/>
  <c r="S49" i="9" s="1"/>
  <c r="P50" i="9"/>
  <c r="S50" i="9" s="1"/>
  <c r="P51" i="9"/>
  <c r="S51" i="9" s="1"/>
  <c r="P52" i="9"/>
  <c r="S52" i="9" s="1"/>
  <c r="P53" i="9"/>
  <c r="S53" i="9" s="1"/>
  <c r="P55" i="9"/>
  <c r="S55" i="9" s="1"/>
  <c r="P56" i="9"/>
  <c r="S56" i="9" s="1"/>
  <c r="P57" i="9"/>
  <c r="S57" i="9" s="1"/>
  <c r="P58" i="9"/>
  <c r="S58" i="9" s="1"/>
  <c r="P59" i="9"/>
  <c r="S59" i="9" s="1"/>
  <c r="P60" i="9"/>
  <c r="S60" i="9" s="1"/>
  <c r="P61" i="9"/>
  <c r="S61" i="9" s="1"/>
  <c r="P62" i="9"/>
  <c r="S62" i="9" s="1"/>
  <c r="P63" i="9"/>
  <c r="S63" i="9" s="1"/>
  <c r="P64" i="9"/>
  <c r="S64" i="9" s="1"/>
  <c r="P65" i="9"/>
  <c r="S65" i="9" s="1"/>
  <c r="P66" i="9"/>
  <c r="S66" i="9" s="1"/>
  <c r="P67" i="9"/>
  <c r="S67" i="9" s="1"/>
  <c r="P68" i="9"/>
  <c r="S68" i="9" s="1"/>
  <c r="P69" i="9"/>
  <c r="S69" i="9" s="1"/>
  <c r="P70" i="9"/>
  <c r="S70" i="9" s="1"/>
  <c r="P71" i="9"/>
  <c r="S71" i="9" s="1"/>
  <c r="P72" i="9"/>
  <c r="S72" i="9" s="1"/>
  <c r="P73" i="9"/>
  <c r="S73" i="9" s="1"/>
  <c r="P74" i="9"/>
  <c r="S74" i="9" s="1"/>
  <c r="P75" i="9"/>
  <c r="S75" i="9" s="1"/>
  <c r="P76" i="9"/>
  <c r="S76" i="9" s="1"/>
  <c r="P77" i="9"/>
  <c r="S77" i="9" s="1"/>
  <c r="P78" i="9"/>
  <c r="S78" i="9" s="1"/>
  <c r="P79" i="9"/>
  <c r="S79" i="9" s="1"/>
  <c r="P80" i="9"/>
  <c r="S80" i="9" s="1"/>
  <c r="P81" i="9"/>
  <c r="S81" i="9" s="1"/>
  <c r="P82" i="9"/>
  <c r="S82" i="9" s="1"/>
  <c r="P83" i="9"/>
  <c r="S83" i="9" s="1"/>
  <c r="P84" i="9"/>
  <c r="S84" i="9" s="1"/>
  <c r="P85" i="9"/>
  <c r="S85" i="9" s="1"/>
  <c r="P86" i="9"/>
  <c r="S86" i="9" s="1"/>
  <c r="P87" i="9"/>
  <c r="S87" i="9" s="1"/>
  <c r="P88" i="9"/>
  <c r="S88" i="9" s="1"/>
  <c r="P89" i="9"/>
  <c r="S89" i="9" s="1"/>
  <c r="P90" i="9"/>
  <c r="S90" i="9" s="1"/>
  <c r="P91" i="9"/>
  <c r="S91" i="9" s="1"/>
  <c r="P92" i="9"/>
  <c r="S92" i="9" s="1"/>
  <c r="P93" i="9"/>
  <c r="S93" i="9" s="1"/>
  <c r="P94" i="9"/>
  <c r="S94" i="9" s="1"/>
  <c r="P95" i="9"/>
  <c r="S95" i="9" s="1"/>
  <c r="P96" i="9"/>
  <c r="S96" i="9" s="1"/>
  <c r="P97" i="9"/>
  <c r="S97" i="9" s="1"/>
  <c r="P98" i="9"/>
  <c r="S98" i="9" s="1"/>
  <c r="P99" i="9"/>
  <c r="S99" i="9" s="1"/>
  <c r="P100" i="9"/>
  <c r="S100" i="9" s="1"/>
  <c r="P101" i="9"/>
  <c r="S101" i="9" s="1"/>
  <c r="P102" i="9"/>
  <c r="S102" i="9" s="1"/>
  <c r="P103" i="9"/>
  <c r="S103" i="9" s="1"/>
  <c r="P104" i="9"/>
  <c r="S104" i="9" s="1"/>
  <c r="P105" i="9"/>
  <c r="S105" i="9" s="1"/>
  <c r="P106" i="9"/>
  <c r="S106" i="9" s="1"/>
  <c r="P107" i="9"/>
  <c r="S107" i="9" s="1"/>
  <c r="P108" i="9"/>
  <c r="S108" i="9" s="1"/>
  <c r="P109" i="9"/>
  <c r="S109" i="9" s="1"/>
  <c r="P110" i="9"/>
  <c r="S110" i="9" s="1"/>
  <c r="P111" i="9"/>
  <c r="S111" i="9" s="1"/>
  <c r="P112" i="9"/>
  <c r="S112" i="9" s="1"/>
  <c r="P113" i="9"/>
  <c r="S113" i="9" s="1"/>
  <c r="P114" i="9"/>
  <c r="S114" i="9" s="1"/>
  <c r="P115" i="9"/>
  <c r="S115" i="9" s="1"/>
  <c r="P116" i="9"/>
  <c r="S116" i="9" s="1"/>
  <c r="P117" i="9"/>
  <c r="S117" i="9" s="1"/>
  <c r="P118" i="9"/>
  <c r="S118" i="9" s="1"/>
  <c r="P119" i="9"/>
  <c r="S119" i="9" s="1"/>
  <c r="P120" i="9"/>
  <c r="S120" i="9" s="1"/>
  <c r="P121" i="9"/>
  <c r="S121" i="9" s="1"/>
  <c r="P122" i="9"/>
  <c r="S122" i="9" s="1"/>
  <c r="P123" i="9"/>
  <c r="S123" i="9" s="1"/>
  <c r="P124" i="9"/>
  <c r="S124" i="9" s="1"/>
  <c r="P125" i="9"/>
  <c r="S125" i="9" s="1"/>
  <c r="P126" i="9"/>
  <c r="S126" i="9" s="1"/>
  <c r="P127" i="9"/>
  <c r="S127" i="9" s="1"/>
  <c r="P128" i="9"/>
  <c r="S128" i="9" s="1"/>
  <c r="P129" i="9"/>
  <c r="S129" i="9" s="1"/>
  <c r="P130" i="9"/>
  <c r="S130" i="9" s="1"/>
  <c r="P131" i="9"/>
  <c r="S131" i="9" s="1"/>
  <c r="P132" i="9"/>
  <c r="S132" i="9" s="1"/>
  <c r="P133" i="9"/>
  <c r="S133" i="9" s="1"/>
  <c r="P134" i="9"/>
  <c r="S134" i="9" s="1"/>
  <c r="P135" i="9"/>
  <c r="S135" i="9" s="1"/>
  <c r="P136" i="9"/>
  <c r="S136" i="9" s="1"/>
  <c r="P137" i="9"/>
  <c r="S137" i="9" s="1"/>
  <c r="P138" i="9"/>
  <c r="S138" i="9" s="1"/>
  <c r="P139" i="9"/>
  <c r="S139" i="9" s="1"/>
  <c r="P140" i="9"/>
  <c r="S140" i="9" s="1"/>
  <c r="P141" i="9"/>
  <c r="S141" i="9" s="1"/>
  <c r="P142" i="9"/>
  <c r="S142" i="9" s="1"/>
  <c r="P143" i="9"/>
  <c r="S143" i="9" s="1"/>
  <c r="P144" i="9"/>
  <c r="S144" i="9" s="1"/>
  <c r="P145" i="9"/>
  <c r="S145" i="9" s="1"/>
  <c r="P146" i="9"/>
  <c r="S146" i="9" s="1"/>
  <c r="P147" i="9"/>
  <c r="S147" i="9" s="1"/>
  <c r="P148" i="9"/>
  <c r="S148" i="9" s="1"/>
  <c r="P149" i="9"/>
  <c r="S149" i="9" s="1"/>
  <c r="P150" i="9"/>
  <c r="S150" i="9" s="1"/>
  <c r="P151" i="9"/>
  <c r="S151" i="9" s="1"/>
  <c r="P152" i="9"/>
  <c r="S152" i="9" s="1"/>
  <c r="P153" i="9"/>
  <c r="S153" i="9" s="1"/>
  <c r="P154" i="9"/>
  <c r="S154" i="9" s="1"/>
  <c r="P155" i="9"/>
  <c r="S155" i="9" s="1"/>
  <c r="P156" i="9"/>
  <c r="S156" i="9" s="1"/>
  <c r="P157" i="9"/>
  <c r="S157" i="9" s="1"/>
  <c r="P158" i="9"/>
  <c r="S158" i="9" s="1"/>
  <c r="P159" i="9"/>
  <c r="S159" i="9" s="1"/>
  <c r="P160" i="9"/>
  <c r="S160" i="9" s="1"/>
  <c r="P161" i="9"/>
  <c r="S161" i="9" s="1"/>
  <c r="P162" i="9"/>
  <c r="S162" i="9" s="1"/>
  <c r="P163" i="9"/>
  <c r="S163" i="9" s="1"/>
  <c r="P164" i="9"/>
  <c r="S164" i="9" s="1"/>
  <c r="P165" i="9"/>
  <c r="S165" i="9" s="1"/>
  <c r="P166" i="9"/>
  <c r="S166" i="9" s="1"/>
  <c r="P167" i="9"/>
  <c r="S167" i="9" s="1"/>
  <c r="P168" i="9"/>
  <c r="S168" i="9" s="1"/>
  <c r="P169" i="9"/>
  <c r="S169" i="9" s="1"/>
  <c r="P170" i="9"/>
  <c r="S170" i="9" s="1"/>
  <c r="P171" i="9"/>
  <c r="S171" i="9" s="1"/>
  <c r="P172" i="9"/>
  <c r="S172" i="9" s="1"/>
  <c r="P173" i="9"/>
  <c r="S173" i="9" s="1"/>
  <c r="P174" i="9"/>
  <c r="S174" i="9" s="1"/>
  <c r="P175" i="9"/>
  <c r="S175" i="9" s="1"/>
  <c r="P176" i="9"/>
  <c r="S176" i="9" s="1"/>
  <c r="P177" i="9"/>
  <c r="S177" i="9" s="1"/>
  <c r="P178" i="9"/>
  <c r="S178" i="9" s="1"/>
  <c r="P179" i="9"/>
  <c r="S179" i="9" s="1"/>
  <c r="P180" i="9"/>
  <c r="S180" i="9" s="1"/>
  <c r="P181" i="9"/>
  <c r="S181" i="9" s="1"/>
  <c r="P182" i="9"/>
  <c r="S182" i="9" s="1"/>
  <c r="P183" i="9"/>
  <c r="S183" i="9" s="1"/>
  <c r="P184" i="9"/>
  <c r="S184" i="9" s="1"/>
  <c r="P185" i="9"/>
  <c r="S185" i="9" s="1"/>
  <c r="P186" i="9"/>
  <c r="S186" i="9" s="1"/>
  <c r="P187" i="9"/>
  <c r="S187" i="9" s="1"/>
  <c r="P188" i="9"/>
  <c r="S188" i="9" s="1"/>
  <c r="P189" i="9"/>
  <c r="S189" i="9" s="1"/>
  <c r="P190" i="9"/>
  <c r="S190" i="9" s="1"/>
  <c r="P191" i="9"/>
  <c r="S191" i="9" s="1"/>
  <c r="P192" i="9"/>
  <c r="S192" i="9" s="1"/>
  <c r="P193" i="9"/>
  <c r="S193" i="9" s="1"/>
  <c r="P194" i="9"/>
  <c r="S194" i="9" s="1"/>
  <c r="P195" i="9"/>
  <c r="S195" i="9" s="1"/>
  <c r="P196" i="9"/>
  <c r="S196" i="9" s="1"/>
  <c r="P197" i="9"/>
  <c r="S197" i="9" s="1"/>
  <c r="P198" i="9"/>
  <c r="S198" i="9" s="1"/>
  <c r="P199" i="9"/>
  <c r="S199" i="9" s="1"/>
  <c r="P200" i="9"/>
  <c r="S200" i="9" s="1"/>
  <c r="P201" i="9"/>
  <c r="S201" i="9" s="1"/>
  <c r="P202" i="9"/>
  <c r="S202" i="9" s="1"/>
  <c r="P203" i="9"/>
  <c r="S203" i="9" s="1"/>
  <c r="P204" i="9"/>
  <c r="S204" i="9" s="1"/>
  <c r="P205" i="9"/>
  <c r="S205" i="9" s="1"/>
  <c r="P206" i="9"/>
  <c r="S206" i="9" s="1"/>
  <c r="P207" i="9"/>
  <c r="S207" i="9" s="1"/>
  <c r="P208" i="9"/>
  <c r="S208" i="9" s="1"/>
  <c r="P209" i="9"/>
  <c r="S209" i="9" s="1"/>
  <c r="P210" i="9"/>
  <c r="S210" i="9" s="1"/>
  <c r="P211" i="9"/>
  <c r="S211" i="9" s="1"/>
  <c r="P212" i="9"/>
  <c r="S212" i="9" s="1"/>
  <c r="P213" i="9"/>
  <c r="S213" i="9" s="1"/>
  <c r="P214" i="9"/>
  <c r="S214" i="9" s="1"/>
  <c r="P215" i="9"/>
  <c r="S215" i="9" s="1"/>
  <c r="P216" i="9"/>
  <c r="S216" i="9" s="1"/>
  <c r="P217" i="9"/>
  <c r="S217" i="9" s="1"/>
  <c r="P218" i="9"/>
  <c r="S218" i="9" s="1"/>
  <c r="P219" i="9"/>
  <c r="S219" i="9" s="1"/>
  <c r="P220" i="9"/>
  <c r="S220" i="9" s="1"/>
  <c r="P221" i="9"/>
  <c r="S221" i="9" s="1"/>
  <c r="P222" i="9"/>
  <c r="S222" i="9" s="1"/>
  <c r="P223" i="9"/>
  <c r="S223" i="9" s="1"/>
  <c r="P224" i="9"/>
  <c r="S224" i="9" s="1"/>
  <c r="P225" i="9"/>
  <c r="S225" i="9" s="1"/>
  <c r="C4" i="9"/>
  <c r="C5" i="9"/>
  <c r="C6" i="9"/>
  <c r="C7" i="9"/>
  <c r="C8" i="9"/>
  <c r="C9" i="9"/>
  <c r="C10" i="9"/>
  <c r="C11" i="9"/>
  <c r="C12" i="9"/>
  <c r="C13" i="9"/>
  <c r="C14" i="9"/>
  <c r="C15" i="9"/>
  <c r="C16" i="9"/>
  <c r="C17" i="9"/>
  <c r="C18" i="9"/>
  <c r="C19" i="9"/>
  <c r="C20" i="9"/>
  <c r="C21" i="9"/>
  <c r="C22" i="9"/>
  <c r="C23" i="9"/>
  <c r="C24" i="9"/>
  <c r="C25" i="9"/>
  <c r="C26" i="9"/>
  <c r="C27" i="9"/>
  <c r="C28" i="9"/>
  <c r="C29" i="9"/>
  <c r="C30" i="9"/>
  <c r="C31" i="9"/>
  <c r="C32" i="9"/>
  <c r="C33" i="9"/>
  <c r="C34" i="9"/>
  <c r="C35" i="9"/>
  <c r="C36" i="9"/>
  <c r="C37" i="9"/>
  <c r="C38" i="9"/>
  <c r="C39" i="9"/>
  <c r="C40" i="9"/>
  <c r="C41" i="9"/>
  <c r="C42" i="9"/>
  <c r="C43" i="9"/>
  <c r="C44" i="9"/>
  <c r="C45" i="9"/>
  <c r="C46" i="9"/>
  <c r="C47" i="9"/>
  <c r="C48" i="9"/>
  <c r="C49" i="9"/>
  <c r="C50" i="9"/>
  <c r="C51" i="9"/>
  <c r="C52" i="9"/>
  <c r="C53" i="9"/>
  <c r="C55" i="9"/>
  <c r="C56" i="9"/>
  <c r="C57" i="9"/>
  <c r="C58" i="9"/>
  <c r="C59" i="9"/>
  <c r="C60" i="9"/>
  <c r="C61" i="9"/>
  <c r="C62" i="9"/>
  <c r="C63" i="9"/>
  <c r="C64" i="9"/>
  <c r="C65" i="9"/>
  <c r="C66" i="9"/>
  <c r="C67" i="9"/>
  <c r="C68" i="9"/>
  <c r="C69" i="9"/>
  <c r="C70" i="9"/>
  <c r="C71" i="9"/>
  <c r="C72" i="9"/>
  <c r="C73" i="9"/>
  <c r="C74" i="9"/>
  <c r="C75" i="9"/>
  <c r="C76" i="9"/>
  <c r="C77" i="9"/>
  <c r="C78" i="9"/>
  <c r="C79" i="9"/>
  <c r="C80" i="9"/>
  <c r="C81" i="9"/>
  <c r="C82" i="9"/>
  <c r="C83" i="9"/>
  <c r="C84" i="9"/>
  <c r="C85" i="9"/>
  <c r="C86" i="9"/>
  <c r="C87" i="9"/>
  <c r="C88" i="9"/>
  <c r="C89" i="9"/>
  <c r="C90" i="9"/>
  <c r="C91" i="9"/>
  <c r="C92" i="9"/>
  <c r="C93" i="9"/>
  <c r="C94" i="9"/>
  <c r="C95" i="9"/>
  <c r="C96" i="9"/>
  <c r="C97" i="9"/>
  <c r="C98" i="9"/>
  <c r="C99" i="9"/>
  <c r="C100" i="9"/>
  <c r="C101" i="9"/>
  <c r="C102" i="9"/>
  <c r="C103" i="9"/>
  <c r="C104" i="9"/>
  <c r="C105" i="9"/>
  <c r="C106" i="9"/>
  <c r="C107" i="9"/>
  <c r="C108" i="9"/>
  <c r="C109" i="9"/>
  <c r="C110" i="9"/>
  <c r="C111" i="9"/>
  <c r="C112" i="9"/>
  <c r="C113" i="9"/>
  <c r="C114" i="9"/>
  <c r="C115" i="9"/>
  <c r="C116" i="9"/>
  <c r="C117" i="9"/>
  <c r="C118" i="9"/>
  <c r="C119" i="9"/>
  <c r="C120" i="9"/>
  <c r="C121" i="9"/>
  <c r="C122" i="9"/>
  <c r="C123" i="9"/>
  <c r="C124" i="9"/>
  <c r="C125" i="9"/>
  <c r="C126" i="9"/>
  <c r="C127" i="9"/>
  <c r="C128" i="9"/>
  <c r="C129" i="9"/>
  <c r="C130" i="9"/>
  <c r="C131" i="9"/>
  <c r="C132" i="9"/>
  <c r="C133" i="9"/>
  <c r="C134" i="9"/>
  <c r="C135" i="9"/>
  <c r="C136" i="9"/>
  <c r="C137" i="9"/>
  <c r="C138" i="9"/>
  <c r="C139" i="9"/>
  <c r="C140" i="9"/>
  <c r="C141" i="9"/>
  <c r="C142" i="9"/>
  <c r="C143" i="9"/>
  <c r="C144" i="9"/>
  <c r="C145" i="9"/>
  <c r="C146" i="9"/>
  <c r="C147" i="9"/>
  <c r="C148" i="9"/>
  <c r="C149" i="9"/>
  <c r="C150" i="9"/>
  <c r="C151" i="9"/>
  <c r="C152" i="9"/>
  <c r="C153" i="9"/>
  <c r="C154" i="9"/>
  <c r="C155" i="9"/>
  <c r="C156" i="9"/>
  <c r="C157" i="9"/>
  <c r="C158" i="9"/>
  <c r="C159" i="9"/>
  <c r="C160" i="9"/>
  <c r="C161" i="9"/>
  <c r="C162" i="9"/>
  <c r="C163" i="9"/>
  <c r="C164" i="9"/>
  <c r="C165" i="9"/>
  <c r="C166" i="9"/>
  <c r="C167" i="9"/>
  <c r="C168" i="9"/>
  <c r="C169" i="9"/>
  <c r="C170" i="9"/>
  <c r="C171" i="9"/>
  <c r="C172" i="9"/>
  <c r="C173" i="9"/>
  <c r="C174" i="9"/>
  <c r="C175" i="9"/>
  <c r="C176" i="9"/>
  <c r="C177" i="9"/>
  <c r="C178" i="9"/>
  <c r="C179" i="9"/>
  <c r="C180" i="9"/>
  <c r="C181" i="9"/>
  <c r="C182" i="9"/>
  <c r="C183" i="9"/>
  <c r="C184" i="9"/>
  <c r="C185" i="9"/>
  <c r="C186" i="9"/>
  <c r="C187" i="9"/>
  <c r="C188" i="9"/>
  <c r="C189" i="9"/>
  <c r="C190" i="9"/>
  <c r="C191" i="9"/>
  <c r="C192" i="9"/>
  <c r="C193" i="9"/>
  <c r="C194" i="9"/>
  <c r="C195" i="9"/>
  <c r="C196" i="9"/>
  <c r="C197" i="9"/>
  <c r="C198" i="9"/>
  <c r="C199" i="9"/>
  <c r="C200" i="9"/>
  <c r="C201" i="9"/>
  <c r="C202" i="9"/>
  <c r="C203" i="9"/>
  <c r="C204" i="9"/>
  <c r="C205" i="9"/>
  <c r="C206" i="9"/>
  <c r="C207" i="9"/>
  <c r="C208" i="9"/>
  <c r="C209" i="9"/>
  <c r="C210" i="9"/>
  <c r="C211" i="9"/>
  <c r="C212" i="9"/>
  <c r="C213" i="9"/>
  <c r="C214" i="9"/>
  <c r="C215" i="9"/>
  <c r="C216" i="9"/>
  <c r="C217" i="9"/>
  <c r="C218" i="9"/>
  <c r="C219" i="9"/>
  <c r="C220" i="9"/>
  <c r="C221" i="9"/>
  <c r="C222" i="9"/>
  <c r="C223" i="9"/>
  <c r="C224" i="9"/>
  <c r="C225" i="9"/>
  <c r="C3" i="9"/>
  <c r="B4" i="9"/>
  <c r="B5" i="9"/>
  <c r="B6" i="9"/>
  <c r="B7" i="9"/>
  <c r="B8" i="9"/>
  <c r="B9" i="9"/>
  <c r="B10" i="9"/>
  <c r="B11" i="9"/>
  <c r="B12" i="9"/>
  <c r="B13" i="9"/>
  <c r="B14" i="9"/>
  <c r="B15" i="9"/>
  <c r="B16" i="9"/>
  <c r="B17" i="9"/>
  <c r="B18" i="9"/>
  <c r="B19" i="9"/>
  <c r="B20" i="9"/>
  <c r="B21" i="9"/>
  <c r="B22" i="9"/>
  <c r="B23" i="9"/>
  <c r="B24" i="9"/>
  <c r="B25" i="9"/>
  <c r="B26" i="9"/>
  <c r="B27" i="9"/>
  <c r="B28" i="9"/>
  <c r="B29" i="9"/>
  <c r="B30" i="9"/>
  <c r="B31" i="9"/>
  <c r="B32" i="9"/>
  <c r="B33" i="9"/>
  <c r="B34" i="9"/>
  <c r="B35" i="9"/>
  <c r="B36" i="9"/>
  <c r="B37" i="9"/>
  <c r="B38" i="9"/>
  <c r="B39" i="9"/>
  <c r="B40" i="9"/>
  <c r="B41" i="9"/>
  <c r="B42" i="9"/>
  <c r="B43" i="9"/>
  <c r="B44" i="9"/>
  <c r="B45" i="9"/>
  <c r="B46" i="9"/>
  <c r="B47" i="9"/>
  <c r="B48" i="9"/>
  <c r="B49" i="9"/>
  <c r="B50" i="9"/>
  <c r="B51" i="9"/>
  <c r="B52" i="9"/>
  <c r="B53" i="9"/>
  <c r="B55" i="9"/>
  <c r="B56" i="9"/>
  <c r="B57" i="9"/>
  <c r="B58" i="9"/>
  <c r="B59" i="9"/>
  <c r="B60" i="9"/>
  <c r="B61" i="9"/>
  <c r="B62" i="9"/>
  <c r="B63" i="9"/>
  <c r="B64" i="9"/>
  <c r="B65" i="9"/>
  <c r="B66" i="9"/>
  <c r="B67" i="9"/>
  <c r="B68" i="9"/>
  <c r="B69" i="9"/>
  <c r="B70" i="9"/>
  <c r="B71" i="9"/>
  <c r="B72" i="9"/>
  <c r="B73" i="9"/>
  <c r="B74" i="9"/>
  <c r="B75" i="9"/>
  <c r="B76" i="9"/>
  <c r="B77" i="9"/>
  <c r="B78" i="9"/>
  <c r="B79" i="9"/>
  <c r="B80" i="9"/>
  <c r="B81" i="9"/>
  <c r="B82" i="9"/>
  <c r="B83" i="9"/>
  <c r="B84" i="9"/>
  <c r="B85" i="9"/>
  <c r="B86" i="9"/>
  <c r="B87" i="9"/>
  <c r="B88" i="9"/>
  <c r="B89" i="9"/>
  <c r="B90" i="9"/>
  <c r="B91" i="9"/>
  <c r="B92" i="9"/>
  <c r="B93" i="9"/>
  <c r="B94" i="9"/>
  <c r="B95" i="9"/>
  <c r="B96" i="9"/>
  <c r="B97" i="9"/>
  <c r="B98" i="9"/>
  <c r="B99" i="9"/>
  <c r="B100" i="9"/>
  <c r="B101" i="9"/>
  <c r="B102" i="9"/>
  <c r="B103" i="9"/>
  <c r="B104" i="9"/>
  <c r="B105" i="9"/>
  <c r="B106" i="9"/>
  <c r="B107" i="9"/>
  <c r="B108" i="9"/>
  <c r="B109" i="9"/>
  <c r="B110" i="9"/>
  <c r="B111" i="9"/>
  <c r="B112" i="9"/>
  <c r="B113" i="9"/>
  <c r="B114" i="9"/>
  <c r="B115" i="9"/>
  <c r="B116" i="9"/>
  <c r="B117" i="9"/>
  <c r="B118" i="9"/>
  <c r="B119" i="9"/>
  <c r="B120" i="9"/>
  <c r="B121" i="9"/>
  <c r="B122" i="9"/>
  <c r="B123" i="9"/>
  <c r="B124" i="9"/>
  <c r="B125" i="9"/>
  <c r="B126" i="9"/>
  <c r="B127" i="9"/>
  <c r="B128" i="9"/>
  <c r="B129" i="9"/>
  <c r="B130" i="9"/>
  <c r="B131" i="9"/>
  <c r="B132" i="9"/>
  <c r="B133" i="9"/>
  <c r="B134" i="9"/>
  <c r="B135" i="9"/>
  <c r="B136" i="9"/>
  <c r="B137" i="9"/>
  <c r="B138" i="9"/>
  <c r="B139" i="9"/>
  <c r="B140" i="9"/>
  <c r="B141" i="9"/>
  <c r="B142" i="9"/>
  <c r="B143" i="9"/>
  <c r="B144" i="9"/>
  <c r="B145" i="9"/>
  <c r="B146" i="9"/>
  <c r="B147" i="9"/>
  <c r="B148" i="9"/>
  <c r="B149" i="9"/>
  <c r="B150" i="9"/>
  <c r="B151" i="9"/>
  <c r="B152" i="9"/>
  <c r="B153" i="9"/>
  <c r="B154" i="9"/>
  <c r="B155" i="9"/>
  <c r="B156" i="9"/>
  <c r="B157" i="9"/>
  <c r="B158" i="9"/>
  <c r="B159" i="9"/>
  <c r="B160" i="9"/>
  <c r="B161" i="9"/>
  <c r="B162" i="9"/>
  <c r="B163" i="9"/>
  <c r="B164" i="9"/>
  <c r="B165" i="9"/>
  <c r="B166" i="9"/>
  <c r="B167" i="9"/>
  <c r="B168" i="9"/>
  <c r="B169" i="9"/>
  <c r="B170" i="9"/>
  <c r="B171" i="9"/>
  <c r="B172" i="9"/>
  <c r="B173" i="9"/>
  <c r="B174" i="9"/>
  <c r="B175" i="9"/>
  <c r="B176" i="9"/>
  <c r="B177" i="9"/>
  <c r="B178" i="9"/>
  <c r="B179" i="9"/>
  <c r="B180" i="9"/>
  <c r="B181" i="9"/>
  <c r="B182" i="9"/>
  <c r="B183" i="9"/>
  <c r="B184" i="9"/>
  <c r="B185" i="9"/>
  <c r="B186" i="9"/>
  <c r="B187" i="9"/>
  <c r="B188" i="9"/>
  <c r="B189" i="9"/>
  <c r="B190" i="9"/>
  <c r="B191" i="9"/>
  <c r="B192" i="9"/>
  <c r="B193" i="9"/>
  <c r="B194" i="9"/>
  <c r="B195" i="9"/>
  <c r="B196" i="9"/>
  <c r="B197" i="9"/>
  <c r="B198" i="9"/>
  <c r="B199" i="9"/>
  <c r="B200" i="9"/>
  <c r="B201" i="9"/>
  <c r="B202" i="9"/>
  <c r="B203" i="9"/>
  <c r="B204" i="9"/>
  <c r="B205" i="9"/>
  <c r="B206" i="9"/>
  <c r="B207" i="9"/>
  <c r="B208" i="9"/>
  <c r="B209" i="9"/>
  <c r="B210" i="9"/>
  <c r="B211" i="9"/>
  <c r="B212" i="9"/>
  <c r="B213" i="9"/>
  <c r="B214" i="9"/>
  <c r="B215" i="9"/>
  <c r="B216" i="9"/>
  <c r="B217" i="9"/>
  <c r="B218" i="9"/>
  <c r="B219" i="9"/>
  <c r="B220" i="9"/>
  <c r="B221" i="9"/>
  <c r="B222" i="9"/>
  <c r="B223" i="9"/>
  <c r="B224" i="9"/>
  <c r="B225" i="9"/>
  <c r="B3" i="9"/>
  <c r="F26" i="10" l="1"/>
  <c r="F10" i="10"/>
  <c r="F25" i="10"/>
  <c r="F9" i="10"/>
  <c r="F4" i="10"/>
  <c r="F12" i="10"/>
  <c r="F27" i="10"/>
  <c r="F11" i="10"/>
  <c r="F22" i="10"/>
  <c r="F6" i="10"/>
  <c r="F21" i="10"/>
  <c r="F5" i="10"/>
  <c r="F24" i="10"/>
  <c r="F8" i="10"/>
  <c r="F23" i="10"/>
  <c r="F7" i="10"/>
  <c r="F18" i="10"/>
  <c r="F17" i="10"/>
  <c r="F20" i="10"/>
  <c r="F19" i="10"/>
  <c r="F14" i="10"/>
  <c r="F13" i="10"/>
  <c r="F16" i="10"/>
  <c r="F15" i="10"/>
  <c r="H54" i="9"/>
  <c r="E54" i="9"/>
  <c r="N54" i="9"/>
  <c r="P226" i="9"/>
  <c r="R225" i="9"/>
  <c r="R223" i="9"/>
  <c r="R215" i="9"/>
  <c r="R209" i="9"/>
  <c r="R203" i="9"/>
  <c r="R202" i="9"/>
  <c r="R200" i="9"/>
  <c r="R197" i="9"/>
  <c r="R191" i="9"/>
  <c r="R190" i="9"/>
  <c r="R186" i="9"/>
  <c r="R184" i="9"/>
  <c r="R180" i="9"/>
  <c r="R174" i="9"/>
  <c r="R171" i="9"/>
  <c r="R164" i="9"/>
  <c r="R160" i="9"/>
  <c r="R156" i="9"/>
  <c r="R152" i="9"/>
  <c r="R148" i="9"/>
  <c r="R144" i="9"/>
  <c r="R140" i="9"/>
  <c r="R136" i="9"/>
  <c r="R131" i="9"/>
  <c r="R117" i="9"/>
  <c r="R104" i="9"/>
  <c r="R100" i="9"/>
  <c r="R96" i="9"/>
  <c r="R93" i="9"/>
  <c r="R88" i="9"/>
  <c r="R84" i="9"/>
  <c r="R78" i="9"/>
  <c r="R75" i="9"/>
  <c r="R71" i="9"/>
  <c r="R67" i="9"/>
  <c r="R60" i="9"/>
  <c r="R50" i="9"/>
  <c r="R47" i="9"/>
  <c r="R45" i="9"/>
  <c r="R41" i="9"/>
  <c r="R38" i="9"/>
  <c r="R36" i="9"/>
  <c r="R32" i="9"/>
  <c r="R25" i="9"/>
  <c r="R20" i="9"/>
  <c r="R18" i="9"/>
  <c r="R12" i="9"/>
  <c r="R8" i="9"/>
  <c r="R221" i="9"/>
  <c r="R213" i="9"/>
  <c r="R211" i="9"/>
  <c r="R206" i="9"/>
  <c r="R199" i="9"/>
  <c r="R195" i="9"/>
  <c r="R194" i="9"/>
  <c r="R185" i="9"/>
  <c r="R183" i="9"/>
  <c r="R179" i="9"/>
  <c r="G4" i="10"/>
  <c r="R173" i="9"/>
  <c r="R167" i="9"/>
  <c r="R163" i="9"/>
  <c r="R159" i="9"/>
  <c r="R155" i="9"/>
  <c r="R151" i="9"/>
  <c r="R147" i="9"/>
  <c r="R143" i="9"/>
  <c r="R139" i="9"/>
  <c r="R135" i="9"/>
  <c r="R129" i="9"/>
  <c r="R126" i="9"/>
  <c r="R123" i="9"/>
  <c r="R120" i="9"/>
  <c r="R119" i="9"/>
  <c r="R116" i="9"/>
  <c r="R114" i="9"/>
  <c r="R111" i="9"/>
  <c r="R109" i="9"/>
  <c r="R107" i="9"/>
  <c r="R103" i="9"/>
  <c r="R99" i="9"/>
  <c r="R220" i="9"/>
  <c r="R219" i="9"/>
  <c r="R217" i="9"/>
  <c r="R216" i="9"/>
  <c r="G23" i="10"/>
  <c r="R214" i="9"/>
  <c r="R208" i="9"/>
  <c r="R205" i="9"/>
  <c r="R201" i="9"/>
  <c r="R193" i="9"/>
  <c r="R189" i="9"/>
  <c r="R188" i="9"/>
  <c r="R187" i="9"/>
  <c r="G13" i="10"/>
  <c r="R178" i="9"/>
  <c r="G24" i="10"/>
  <c r="R177" i="9"/>
  <c r="R172" i="9"/>
  <c r="R170" i="9"/>
  <c r="R166" i="9"/>
  <c r="R162" i="9"/>
  <c r="R158" i="9"/>
  <c r="R154" i="9"/>
  <c r="R150" i="9"/>
  <c r="R146" i="9"/>
  <c r="R142" i="9"/>
  <c r="R138" i="9"/>
  <c r="R134" i="9"/>
  <c r="R128" i="9"/>
  <c r="R125" i="9"/>
  <c r="R122" i="9"/>
  <c r="R118" i="9"/>
  <c r="R113" i="9"/>
  <c r="R110" i="9"/>
  <c r="R108" i="9"/>
  <c r="R106" i="9"/>
  <c r="R102" i="9"/>
  <c r="R224" i="9"/>
  <c r="R222" i="9"/>
  <c r="R218" i="9"/>
  <c r="G26" i="10"/>
  <c r="R212" i="9"/>
  <c r="R210" i="9"/>
  <c r="R207" i="9"/>
  <c r="R204" i="9"/>
  <c r="R198" i="9"/>
  <c r="R196" i="9"/>
  <c r="R192" i="9"/>
  <c r="R182" i="9"/>
  <c r="R181" i="9"/>
  <c r="R176" i="9"/>
  <c r="R175" i="9"/>
  <c r="R169" i="9"/>
  <c r="R168" i="9"/>
  <c r="R165" i="9"/>
  <c r="R161" i="9"/>
  <c r="R157" i="9"/>
  <c r="R153" i="9"/>
  <c r="R149" i="9"/>
  <c r="R145" i="9"/>
  <c r="R141" i="9"/>
  <c r="R137" i="9"/>
  <c r="R133" i="9"/>
  <c r="R132" i="9"/>
  <c r="R130" i="9"/>
  <c r="R127" i="9"/>
  <c r="R124" i="9"/>
  <c r="R121" i="9"/>
  <c r="R115" i="9"/>
  <c r="R112" i="9"/>
  <c r="R105" i="9"/>
  <c r="R101" i="9"/>
  <c r="R94" i="9"/>
  <c r="R91" i="9"/>
  <c r="R89" i="9"/>
  <c r="R85" i="9"/>
  <c r="R81" i="9"/>
  <c r="R79" i="9"/>
  <c r="R76" i="9"/>
  <c r="R72" i="9"/>
  <c r="R68" i="9"/>
  <c r="R64" i="9"/>
  <c r="R58" i="9"/>
  <c r="R55" i="9"/>
  <c r="R51" i="9"/>
  <c r="R42" i="9"/>
  <c r="R39" i="9"/>
  <c r="R33" i="9"/>
  <c r="R29" i="9"/>
  <c r="R26" i="9"/>
  <c r="R22" i="9"/>
  <c r="R95" i="9"/>
  <c r="R92" i="9"/>
  <c r="R90" i="9"/>
  <c r="R87" i="9"/>
  <c r="R83" i="9"/>
  <c r="R74" i="9"/>
  <c r="R66" i="9"/>
  <c r="R63" i="9"/>
  <c r="R62" i="9"/>
  <c r="R57" i="9"/>
  <c r="R53" i="9"/>
  <c r="R49" i="9"/>
  <c r="R44" i="9"/>
  <c r="R40" i="9"/>
  <c r="R35" i="9"/>
  <c r="R31" i="9"/>
  <c r="R28" i="9"/>
  <c r="R24" i="9"/>
  <c r="R21" i="9"/>
  <c r="R17" i="9"/>
  <c r="R14" i="9"/>
  <c r="R11" i="9"/>
  <c r="R9" i="9"/>
  <c r="R5" i="9"/>
  <c r="R3" i="9"/>
  <c r="R98" i="9"/>
  <c r="R97" i="9"/>
  <c r="R86" i="9"/>
  <c r="R82" i="9"/>
  <c r="R80" i="9"/>
  <c r="R77" i="9"/>
  <c r="R73" i="9"/>
  <c r="R70" i="9"/>
  <c r="R69" i="9"/>
  <c r="R65" i="9"/>
  <c r="R61" i="9"/>
  <c r="R59" i="9"/>
  <c r="R56" i="9"/>
  <c r="R52" i="9"/>
  <c r="R48" i="9"/>
  <c r="R46" i="9"/>
  <c r="R43" i="9"/>
  <c r="R37" i="9"/>
  <c r="R34" i="9"/>
  <c r="R30" i="9"/>
  <c r="R27" i="9"/>
  <c r="R23" i="9"/>
  <c r="R19" i="9"/>
  <c r="R16" i="9"/>
  <c r="R13" i="9"/>
  <c r="R10" i="9"/>
  <c r="R7" i="9"/>
  <c r="R4" i="9"/>
  <c r="R15" i="9"/>
  <c r="R6" i="9"/>
  <c r="G22" i="10" l="1"/>
  <c r="G20" i="10"/>
  <c r="G15" i="10"/>
  <c r="G14" i="10"/>
  <c r="G9" i="10"/>
  <c r="G11" i="10"/>
  <c r="G19" i="10"/>
  <c r="G12" i="10"/>
  <c r="G17" i="10"/>
  <c r="G6" i="10"/>
  <c r="G18" i="10"/>
  <c r="G16" i="10"/>
  <c r="G5" i="10"/>
  <c r="G27" i="10"/>
  <c r="G8" i="10"/>
  <c r="G10" i="10"/>
  <c r="G7" i="10"/>
  <c r="G21" i="10"/>
  <c r="G25" i="10"/>
  <c r="E4" i="9"/>
  <c r="K4" i="9"/>
  <c r="N4" i="9"/>
  <c r="H4" i="9"/>
  <c r="H23" i="9"/>
  <c r="E23" i="9"/>
  <c r="K23" i="9"/>
  <c r="N23" i="9"/>
  <c r="H37" i="9"/>
  <c r="E37" i="9"/>
  <c r="N37" i="9"/>
  <c r="K37" i="9"/>
  <c r="H46" i="9"/>
  <c r="E46" i="9"/>
  <c r="K46" i="9"/>
  <c r="N46" i="9"/>
  <c r="H59" i="9"/>
  <c r="E59" i="9"/>
  <c r="K59" i="9"/>
  <c r="N59" i="9"/>
  <c r="H70" i="9"/>
  <c r="E70" i="9"/>
  <c r="K70" i="9"/>
  <c r="N70" i="9"/>
  <c r="H77" i="9"/>
  <c r="E77" i="9"/>
  <c r="N77" i="9"/>
  <c r="K77" i="9"/>
  <c r="H11" i="9"/>
  <c r="E11" i="9"/>
  <c r="K11" i="9"/>
  <c r="N11" i="9"/>
  <c r="E24" i="9"/>
  <c r="H24" i="9"/>
  <c r="K24" i="9"/>
  <c r="N24" i="9"/>
  <c r="E40" i="9"/>
  <c r="H40" i="9"/>
  <c r="K40" i="9"/>
  <c r="N40" i="9"/>
  <c r="H74" i="9"/>
  <c r="E74" i="9"/>
  <c r="K74" i="9"/>
  <c r="N74" i="9"/>
  <c r="E92" i="9"/>
  <c r="H92" i="9"/>
  <c r="K92" i="9"/>
  <c r="N92" i="9"/>
  <c r="H22" i="9"/>
  <c r="E22" i="9"/>
  <c r="K22" i="9"/>
  <c r="N22" i="9"/>
  <c r="H39" i="9"/>
  <c r="E39" i="9"/>
  <c r="K39" i="9"/>
  <c r="N39" i="9"/>
  <c r="E68" i="9"/>
  <c r="K68" i="9"/>
  <c r="H68" i="9"/>
  <c r="N68" i="9"/>
  <c r="H81" i="9"/>
  <c r="E81" i="9"/>
  <c r="N81" i="9"/>
  <c r="K81" i="9"/>
  <c r="H89" i="9"/>
  <c r="E89" i="9"/>
  <c r="N89" i="9"/>
  <c r="K89" i="9"/>
  <c r="H94" i="9"/>
  <c r="E94" i="9"/>
  <c r="K94" i="9"/>
  <c r="N94" i="9"/>
  <c r="H105" i="9"/>
  <c r="E105" i="9"/>
  <c r="N105" i="9"/>
  <c r="K105" i="9"/>
  <c r="K115" i="9"/>
  <c r="E115" i="9"/>
  <c r="H115" i="9"/>
  <c r="N115" i="9"/>
  <c r="E130" i="9"/>
  <c r="K130" i="9"/>
  <c r="H130" i="9"/>
  <c r="N130" i="9"/>
  <c r="E133" i="9"/>
  <c r="H133" i="9"/>
  <c r="N133" i="9"/>
  <c r="K133" i="9"/>
  <c r="E141" i="9"/>
  <c r="H141" i="9"/>
  <c r="N141" i="9"/>
  <c r="K141" i="9"/>
  <c r="E157" i="9"/>
  <c r="H157" i="9"/>
  <c r="N157" i="9"/>
  <c r="K157" i="9"/>
  <c r="E165" i="9"/>
  <c r="H165" i="9"/>
  <c r="K165" i="9"/>
  <c r="N165" i="9"/>
  <c r="E169" i="9"/>
  <c r="H169" i="9"/>
  <c r="N169" i="9"/>
  <c r="K169" i="9"/>
  <c r="E182" i="9"/>
  <c r="H182" i="9"/>
  <c r="K182" i="9"/>
  <c r="N182" i="9"/>
  <c r="E204" i="9"/>
  <c r="N204" i="9"/>
  <c r="K204" i="9"/>
  <c r="H204" i="9"/>
  <c r="E210" i="9"/>
  <c r="H210" i="9"/>
  <c r="K210" i="9"/>
  <c r="N210" i="9"/>
  <c r="E224" i="9"/>
  <c r="H224" i="9"/>
  <c r="N224" i="9"/>
  <c r="K224" i="9"/>
  <c r="H106" i="9"/>
  <c r="E106" i="9"/>
  <c r="K106" i="9"/>
  <c r="N106" i="9"/>
  <c r="H110" i="9"/>
  <c r="E110" i="9"/>
  <c r="K110" i="9"/>
  <c r="N110" i="9"/>
  <c r="H118" i="9"/>
  <c r="E118" i="9"/>
  <c r="K118" i="9"/>
  <c r="N118" i="9"/>
  <c r="E150" i="9"/>
  <c r="H150" i="9"/>
  <c r="K150" i="9"/>
  <c r="N150" i="9"/>
  <c r="E158" i="9"/>
  <c r="H158" i="9"/>
  <c r="N158" i="9"/>
  <c r="K158" i="9"/>
  <c r="E193" i="9"/>
  <c r="H193" i="9"/>
  <c r="K193" i="9"/>
  <c r="N193" i="9"/>
  <c r="E205" i="9"/>
  <c r="H205" i="9"/>
  <c r="K205" i="9"/>
  <c r="N205" i="9"/>
  <c r="E214" i="9"/>
  <c r="H214" i="9"/>
  <c r="K214" i="9"/>
  <c r="N214" i="9"/>
  <c r="E217" i="9"/>
  <c r="H217" i="9"/>
  <c r="K217" i="9"/>
  <c r="N217" i="9"/>
  <c r="E220" i="9"/>
  <c r="N220" i="9"/>
  <c r="K220" i="9"/>
  <c r="H220" i="9"/>
  <c r="H109" i="9"/>
  <c r="E109" i="9"/>
  <c r="N109" i="9"/>
  <c r="K109" i="9"/>
  <c r="E119" i="9"/>
  <c r="K119" i="9"/>
  <c r="H119" i="9"/>
  <c r="N119" i="9"/>
  <c r="E123" i="9"/>
  <c r="K123" i="9"/>
  <c r="H123" i="9"/>
  <c r="N123" i="9"/>
  <c r="E129" i="9"/>
  <c r="H129" i="9"/>
  <c r="N129" i="9"/>
  <c r="K129" i="9"/>
  <c r="K147" i="9"/>
  <c r="E147" i="9"/>
  <c r="H147" i="9"/>
  <c r="N147" i="9"/>
  <c r="K163" i="9"/>
  <c r="H163" i="9"/>
  <c r="E163" i="9"/>
  <c r="N163" i="9"/>
  <c r="H211" i="9"/>
  <c r="E211" i="9"/>
  <c r="K211" i="9"/>
  <c r="N211" i="9"/>
  <c r="E221" i="9"/>
  <c r="H221" i="9"/>
  <c r="K221" i="9"/>
  <c r="N221" i="9"/>
  <c r="E20" i="9"/>
  <c r="K20" i="9"/>
  <c r="H20" i="9"/>
  <c r="N20" i="9"/>
  <c r="H38" i="9"/>
  <c r="E38" i="9"/>
  <c r="K38" i="9"/>
  <c r="N38" i="9"/>
  <c r="H45" i="9"/>
  <c r="E45" i="9"/>
  <c r="N45" i="9"/>
  <c r="K45" i="9"/>
  <c r="H67" i="9"/>
  <c r="K67" i="9"/>
  <c r="N67" i="9"/>
  <c r="E67" i="9"/>
  <c r="E84" i="9"/>
  <c r="K84" i="9"/>
  <c r="H84" i="9"/>
  <c r="N84" i="9"/>
  <c r="E100" i="9"/>
  <c r="K100" i="9"/>
  <c r="N100" i="9"/>
  <c r="H100" i="9"/>
  <c r="E117" i="9"/>
  <c r="H117" i="9"/>
  <c r="N117" i="9"/>
  <c r="K117" i="9"/>
  <c r="E136" i="9"/>
  <c r="K136" i="9"/>
  <c r="H136" i="9"/>
  <c r="N136" i="9"/>
  <c r="E144" i="9"/>
  <c r="K144" i="9"/>
  <c r="H144" i="9"/>
  <c r="N144" i="9"/>
  <c r="E152" i="9"/>
  <c r="K152" i="9"/>
  <c r="H152" i="9"/>
  <c r="N152" i="9"/>
  <c r="E160" i="9"/>
  <c r="K160" i="9"/>
  <c r="H160" i="9"/>
  <c r="N160" i="9"/>
  <c r="E171" i="9"/>
  <c r="K171" i="9"/>
  <c r="H171" i="9"/>
  <c r="N171" i="9"/>
  <c r="E180" i="9"/>
  <c r="K180" i="9"/>
  <c r="N180" i="9"/>
  <c r="H180" i="9"/>
  <c r="E186" i="9"/>
  <c r="H186" i="9"/>
  <c r="K186" i="9"/>
  <c r="N186" i="9"/>
  <c r="H191" i="9"/>
  <c r="E191" i="9"/>
  <c r="K191" i="9"/>
  <c r="N191" i="9"/>
  <c r="E200" i="9"/>
  <c r="H200" i="9"/>
  <c r="N200" i="9"/>
  <c r="K200" i="9"/>
  <c r="E203" i="9"/>
  <c r="H203" i="9"/>
  <c r="K203" i="9"/>
  <c r="N203" i="9"/>
  <c r="E215" i="9"/>
  <c r="H215" i="9"/>
  <c r="K215" i="9"/>
  <c r="N215" i="9"/>
  <c r="E225" i="9"/>
  <c r="H225" i="9"/>
  <c r="K225" i="9"/>
  <c r="N225" i="9"/>
  <c r="H15" i="9"/>
  <c r="K15" i="9"/>
  <c r="E15" i="9"/>
  <c r="N15" i="9"/>
  <c r="H7" i="9"/>
  <c r="E7" i="9"/>
  <c r="K7" i="9"/>
  <c r="N7" i="9"/>
  <c r="H13" i="9"/>
  <c r="E13" i="9"/>
  <c r="N13" i="9"/>
  <c r="K13" i="9"/>
  <c r="H19" i="9"/>
  <c r="K19" i="9"/>
  <c r="N19" i="9"/>
  <c r="E19" i="9"/>
  <c r="H27" i="9"/>
  <c r="E27" i="9"/>
  <c r="K27" i="9"/>
  <c r="N27" i="9"/>
  <c r="H34" i="9"/>
  <c r="E34" i="9"/>
  <c r="K34" i="9"/>
  <c r="N34" i="9"/>
  <c r="H43" i="9"/>
  <c r="E43" i="9"/>
  <c r="K43" i="9"/>
  <c r="N43" i="9"/>
  <c r="E48" i="9"/>
  <c r="H48" i="9"/>
  <c r="K48" i="9"/>
  <c r="N48" i="9"/>
  <c r="E56" i="9"/>
  <c r="H56" i="9"/>
  <c r="K56" i="9"/>
  <c r="N56" i="9"/>
  <c r="H61" i="9"/>
  <c r="E61" i="9"/>
  <c r="N61" i="9"/>
  <c r="K61" i="9"/>
  <c r="H69" i="9"/>
  <c r="E69" i="9"/>
  <c r="N69" i="9"/>
  <c r="K69" i="9"/>
  <c r="H73" i="9"/>
  <c r="E73" i="9"/>
  <c r="N73" i="9"/>
  <c r="K73" i="9"/>
  <c r="E80" i="9"/>
  <c r="H80" i="9"/>
  <c r="K80" i="9"/>
  <c r="N80" i="9"/>
  <c r="H86" i="9"/>
  <c r="E86" i="9"/>
  <c r="K86" i="9"/>
  <c r="N86" i="9"/>
  <c r="H98" i="9"/>
  <c r="E98" i="9"/>
  <c r="K98" i="9"/>
  <c r="N98" i="9"/>
  <c r="E3" i="9"/>
  <c r="H3" i="9"/>
  <c r="K3" i="9"/>
  <c r="N3" i="9"/>
  <c r="H6" i="9"/>
  <c r="E6" i="9"/>
  <c r="K6" i="9"/>
  <c r="N6" i="9"/>
  <c r="H10" i="9"/>
  <c r="E10" i="9"/>
  <c r="K10" i="9"/>
  <c r="N10" i="9"/>
  <c r="E16" i="9"/>
  <c r="H16" i="9"/>
  <c r="K16" i="9"/>
  <c r="N16" i="9"/>
  <c r="H30" i="9"/>
  <c r="E30" i="9"/>
  <c r="K30" i="9"/>
  <c r="N30" i="9"/>
  <c r="E52" i="9"/>
  <c r="H52" i="9"/>
  <c r="K52" i="9"/>
  <c r="N52" i="9"/>
  <c r="H65" i="9"/>
  <c r="E65" i="9"/>
  <c r="N65" i="9"/>
  <c r="K65" i="9"/>
  <c r="H82" i="9"/>
  <c r="E82" i="9"/>
  <c r="K82" i="9"/>
  <c r="N82" i="9"/>
  <c r="H97" i="9"/>
  <c r="E97" i="9"/>
  <c r="N97" i="9"/>
  <c r="K97" i="9"/>
  <c r="H5" i="9"/>
  <c r="E5" i="9"/>
  <c r="N5" i="9"/>
  <c r="K5" i="9"/>
  <c r="H17" i="9"/>
  <c r="E17" i="9"/>
  <c r="N17" i="9"/>
  <c r="K17" i="9"/>
  <c r="H31" i="9"/>
  <c r="K31" i="9"/>
  <c r="E31" i="9"/>
  <c r="N31" i="9"/>
  <c r="H49" i="9"/>
  <c r="E49" i="9"/>
  <c r="N49" i="9"/>
  <c r="K49" i="9"/>
  <c r="H57" i="9"/>
  <c r="E57" i="9"/>
  <c r="N57" i="9"/>
  <c r="K57" i="9"/>
  <c r="H63" i="9"/>
  <c r="K63" i="9"/>
  <c r="E63" i="9"/>
  <c r="N63" i="9"/>
  <c r="H87" i="9"/>
  <c r="E87" i="9"/>
  <c r="K87" i="9"/>
  <c r="N87" i="9"/>
  <c r="H29" i="9"/>
  <c r="E29" i="9"/>
  <c r="N29" i="9"/>
  <c r="K29" i="9"/>
  <c r="H51" i="9"/>
  <c r="K51" i="9"/>
  <c r="E51" i="9"/>
  <c r="N51" i="9"/>
  <c r="H58" i="9"/>
  <c r="E58" i="9"/>
  <c r="K58" i="9"/>
  <c r="N58" i="9"/>
  <c r="E76" i="9"/>
  <c r="H76" i="9"/>
  <c r="K76" i="9"/>
  <c r="N76" i="9"/>
  <c r="E124" i="9"/>
  <c r="K124" i="9"/>
  <c r="N124" i="9"/>
  <c r="H124" i="9"/>
  <c r="E149" i="9"/>
  <c r="H149" i="9"/>
  <c r="K149" i="9"/>
  <c r="N149" i="9"/>
  <c r="E176" i="9"/>
  <c r="K176" i="9"/>
  <c r="H176" i="9"/>
  <c r="N176" i="9"/>
  <c r="E196" i="9"/>
  <c r="H196" i="9"/>
  <c r="K196" i="9"/>
  <c r="N196" i="9"/>
  <c r="E218" i="9"/>
  <c r="H218" i="9"/>
  <c r="K218" i="9"/>
  <c r="N218" i="9"/>
  <c r="E125" i="9"/>
  <c r="H125" i="9"/>
  <c r="N125" i="9"/>
  <c r="K125" i="9"/>
  <c r="E134" i="9"/>
  <c r="K134" i="9"/>
  <c r="H134" i="9"/>
  <c r="N134" i="9"/>
  <c r="E142" i="9"/>
  <c r="K142" i="9"/>
  <c r="H142" i="9"/>
  <c r="N142" i="9"/>
  <c r="E166" i="9"/>
  <c r="H166" i="9"/>
  <c r="K166" i="9"/>
  <c r="N166" i="9"/>
  <c r="E172" i="9"/>
  <c r="K172" i="9"/>
  <c r="N172" i="9"/>
  <c r="H172" i="9"/>
  <c r="E178" i="9"/>
  <c r="H178" i="9"/>
  <c r="K178" i="9"/>
  <c r="N178" i="9"/>
  <c r="E188" i="9"/>
  <c r="N188" i="9"/>
  <c r="K188" i="9"/>
  <c r="H188" i="9"/>
  <c r="E103" i="9"/>
  <c r="H103" i="9"/>
  <c r="K103" i="9"/>
  <c r="N103" i="9"/>
  <c r="H114" i="9"/>
  <c r="E114" i="9"/>
  <c r="K114" i="9"/>
  <c r="N114" i="9"/>
  <c r="E139" i="9"/>
  <c r="K139" i="9"/>
  <c r="H139" i="9"/>
  <c r="N139" i="9"/>
  <c r="E155" i="9"/>
  <c r="K155" i="9"/>
  <c r="H155" i="9"/>
  <c r="N155" i="9"/>
  <c r="E173" i="9"/>
  <c r="H173" i="9"/>
  <c r="N173" i="9"/>
  <c r="K173" i="9"/>
  <c r="E183" i="9"/>
  <c r="H183" i="9"/>
  <c r="K183" i="9"/>
  <c r="N183" i="9"/>
  <c r="E194" i="9"/>
  <c r="H194" i="9"/>
  <c r="K194" i="9"/>
  <c r="N194" i="9"/>
  <c r="E199" i="9"/>
  <c r="H199" i="9"/>
  <c r="K199" i="9"/>
  <c r="N199" i="9"/>
  <c r="E12" i="9"/>
  <c r="H12" i="9"/>
  <c r="K12" i="9"/>
  <c r="N12" i="9"/>
  <c r="E32" i="9"/>
  <c r="K32" i="9"/>
  <c r="H32" i="9"/>
  <c r="N32" i="9"/>
  <c r="H50" i="9"/>
  <c r="E50" i="9"/>
  <c r="K50" i="9"/>
  <c r="N50" i="9"/>
  <c r="H75" i="9"/>
  <c r="E75" i="9"/>
  <c r="K75" i="9"/>
  <c r="N75" i="9"/>
  <c r="H93" i="9"/>
  <c r="E93" i="9"/>
  <c r="N93" i="9"/>
  <c r="K93" i="9"/>
  <c r="H9" i="9"/>
  <c r="E9" i="9"/>
  <c r="N9" i="9"/>
  <c r="K9" i="9"/>
  <c r="H14" i="9"/>
  <c r="E14" i="9"/>
  <c r="K14" i="9"/>
  <c r="N14" i="9"/>
  <c r="H21" i="9"/>
  <c r="E21" i="9"/>
  <c r="N21" i="9"/>
  <c r="K21" i="9"/>
  <c r="E28" i="9"/>
  <c r="H28" i="9"/>
  <c r="K28" i="9"/>
  <c r="N28" i="9"/>
  <c r="H35" i="9"/>
  <c r="K35" i="9"/>
  <c r="N35" i="9"/>
  <c r="E35" i="9"/>
  <c r="E44" i="9"/>
  <c r="H44" i="9"/>
  <c r="K44" i="9"/>
  <c r="N44" i="9"/>
  <c r="H53" i="9"/>
  <c r="E53" i="9"/>
  <c r="N53" i="9"/>
  <c r="K53" i="9"/>
  <c r="H62" i="9"/>
  <c r="E62" i="9"/>
  <c r="K62" i="9"/>
  <c r="N62" i="9"/>
  <c r="H66" i="9"/>
  <c r="E66" i="9"/>
  <c r="K66" i="9"/>
  <c r="N66" i="9"/>
  <c r="H83" i="9"/>
  <c r="K83" i="9"/>
  <c r="N83" i="9"/>
  <c r="E83" i="9"/>
  <c r="H90" i="9"/>
  <c r="E90" i="9"/>
  <c r="K90" i="9"/>
  <c r="N90" i="9"/>
  <c r="H95" i="9"/>
  <c r="K95" i="9"/>
  <c r="E95" i="9"/>
  <c r="N95" i="9"/>
  <c r="H26" i="9"/>
  <c r="E26" i="9"/>
  <c r="K26" i="9"/>
  <c r="N26" i="9"/>
  <c r="H33" i="9"/>
  <c r="E33" i="9"/>
  <c r="N33" i="9"/>
  <c r="K33" i="9"/>
  <c r="H42" i="9"/>
  <c r="E42" i="9"/>
  <c r="K42" i="9"/>
  <c r="N42" i="9"/>
  <c r="H55" i="9"/>
  <c r="E55" i="9"/>
  <c r="K55" i="9"/>
  <c r="N55" i="9"/>
  <c r="E64" i="9"/>
  <c r="K64" i="9"/>
  <c r="H64" i="9"/>
  <c r="N64" i="9"/>
  <c r="E72" i="9"/>
  <c r="H72" i="9"/>
  <c r="K72" i="9"/>
  <c r="N72" i="9"/>
  <c r="H79" i="9"/>
  <c r="K79" i="9"/>
  <c r="E79" i="9"/>
  <c r="N79" i="9"/>
  <c r="H85" i="9"/>
  <c r="E85" i="9"/>
  <c r="N85" i="9"/>
  <c r="K85" i="9"/>
  <c r="H91" i="9"/>
  <c r="E91" i="9"/>
  <c r="K91" i="9"/>
  <c r="N91" i="9"/>
  <c r="H101" i="9"/>
  <c r="E101" i="9"/>
  <c r="N101" i="9"/>
  <c r="K101" i="9"/>
  <c r="E112" i="9"/>
  <c r="H112" i="9"/>
  <c r="K112" i="9"/>
  <c r="N112" i="9"/>
  <c r="E121" i="9"/>
  <c r="H121" i="9"/>
  <c r="N121" i="9"/>
  <c r="K121" i="9"/>
  <c r="K127" i="9"/>
  <c r="H127" i="9"/>
  <c r="E127" i="9"/>
  <c r="N127" i="9"/>
  <c r="E132" i="9"/>
  <c r="K132" i="9"/>
  <c r="H132" i="9"/>
  <c r="N132" i="9"/>
  <c r="E137" i="9"/>
  <c r="H137" i="9"/>
  <c r="N137" i="9"/>
  <c r="K137" i="9"/>
  <c r="E145" i="9"/>
  <c r="H145" i="9"/>
  <c r="N145" i="9"/>
  <c r="K145" i="9"/>
  <c r="E153" i="9"/>
  <c r="H153" i="9"/>
  <c r="N153" i="9"/>
  <c r="K153" i="9"/>
  <c r="E161" i="9"/>
  <c r="H161" i="9"/>
  <c r="N161" i="9"/>
  <c r="K161" i="9"/>
  <c r="E168" i="9"/>
  <c r="K168" i="9"/>
  <c r="H168" i="9"/>
  <c r="N168" i="9"/>
  <c r="K175" i="9"/>
  <c r="E175" i="9"/>
  <c r="H175" i="9"/>
  <c r="N175" i="9"/>
  <c r="E181" i="9"/>
  <c r="H181" i="9"/>
  <c r="K181" i="9"/>
  <c r="N181" i="9"/>
  <c r="E192" i="9"/>
  <c r="H192" i="9"/>
  <c r="K192" i="9"/>
  <c r="N192" i="9"/>
  <c r="E198" i="9"/>
  <c r="H198" i="9"/>
  <c r="K198" i="9"/>
  <c r="N198" i="9"/>
  <c r="E207" i="9"/>
  <c r="H207" i="9"/>
  <c r="K207" i="9"/>
  <c r="N207" i="9"/>
  <c r="E212" i="9"/>
  <c r="K212" i="9"/>
  <c r="N212" i="9"/>
  <c r="H212" i="9"/>
  <c r="E222" i="9"/>
  <c r="H222" i="9"/>
  <c r="K222" i="9"/>
  <c r="N222" i="9"/>
  <c r="H102" i="9"/>
  <c r="E102" i="9"/>
  <c r="K102" i="9"/>
  <c r="N102" i="9"/>
  <c r="E108" i="9"/>
  <c r="H108" i="9"/>
  <c r="K108" i="9"/>
  <c r="N108" i="9"/>
  <c r="E113" i="9"/>
  <c r="N113" i="9"/>
  <c r="H113" i="9"/>
  <c r="K113" i="9"/>
  <c r="E122" i="9"/>
  <c r="K122" i="9"/>
  <c r="H122" i="9"/>
  <c r="N122" i="9"/>
  <c r="E128" i="9"/>
  <c r="K128" i="9"/>
  <c r="H128" i="9"/>
  <c r="N128" i="9"/>
  <c r="E138" i="9"/>
  <c r="K138" i="9"/>
  <c r="H138" i="9"/>
  <c r="N138" i="9"/>
  <c r="E146" i="9"/>
  <c r="H146" i="9"/>
  <c r="N146" i="9"/>
  <c r="K146" i="9"/>
  <c r="E154" i="9"/>
  <c r="H154" i="9"/>
  <c r="K154" i="9"/>
  <c r="N154" i="9"/>
  <c r="E162" i="9"/>
  <c r="H162" i="9"/>
  <c r="N162" i="9"/>
  <c r="K162" i="9"/>
  <c r="E170" i="9"/>
  <c r="H170" i="9"/>
  <c r="K170" i="9"/>
  <c r="N170" i="9"/>
  <c r="E177" i="9"/>
  <c r="B24" i="10" s="1"/>
  <c r="H177" i="9"/>
  <c r="C24" i="10" s="1"/>
  <c r="N177" i="9"/>
  <c r="E24" i="10" s="1"/>
  <c r="K177" i="9"/>
  <c r="D24" i="10" s="1"/>
  <c r="E187" i="9"/>
  <c r="B18" i="10" s="1"/>
  <c r="K187" i="9"/>
  <c r="D18" i="10" s="1"/>
  <c r="H187" i="9"/>
  <c r="N187" i="9"/>
  <c r="E18" i="10" s="1"/>
  <c r="E189" i="9"/>
  <c r="H189" i="9"/>
  <c r="K189" i="9"/>
  <c r="N189" i="9"/>
  <c r="E201" i="9"/>
  <c r="H201" i="9"/>
  <c r="K201" i="9"/>
  <c r="N201" i="9"/>
  <c r="E208" i="9"/>
  <c r="H208" i="9"/>
  <c r="K208" i="9"/>
  <c r="N208" i="9"/>
  <c r="E216" i="9"/>
  <c r="H216" i="9"/>
  <c r="N216" i="9"/>
  <c r="K216" i="9"/>
  <c r="E219" i="9"/>
  <c r="H219" i="9"/>
  <c r="K219" i="9"/>
  <c r="N219" i="9"/>
  <c r="H99" i="9"/>
  <c r="K99" i="9"/>
  <c r="E99" i="9"/>
  <c r="N99" i="9"/>
  <c r="E107" i="9"/>
  <c r="K107" i="9"/>
  <c r="H107" i="9"/>
  <c r="N107" i="9"/>
  <c r="H111" i="9"/>
  <c r="K111" i="9"/>
  <c r="E111" i="9"/>
  <c r="N111" i="9"/>
  <c r="E116" i="9"/>
  <c r="H116" i="9"/>
  <c r="K116" i="9"/>
  <c r="N116" i="9"/>
  <c r="E120" i="9"/>
  <c r="K120" i="9"/>
  <c r="H120" i="9"/>
  <c r="N120" i="9"/>
  <c r="E126" i="9"/>
  <c r="K126" i="9"/>
  <c r="H126" i="9"/>
  <c r="N126" i="9"/>
  <c r="E135" i="9"/>
  <c r="K135" i="9"/>
  <c r="H135" i="9"/>
  <c r="N135" i="9"/>
  <c r="K143" i="9"/>
  <c r="E143" i="9"/>
  <c r="H143" i="9"/>
  <c r="N143" i="9"/>
  <c r="E151" i="9"/>
  <c r="K151" i="9"/>
  <c r="H151" i="9"/>
  <c r="N151" i="9"/>
  <c r="K159" i="9"/>
  <c r="H159" i="9"/>
  <c r="E159" i="9"/>
  <c r="N159" i="9"/>
  <c r="E167" i="9"/>
  <c r="K167" i="9"/>
  <c r="H167" i="9"/>
  <c r="N167" i="9"/>
  <c r="K179" i="9"/>
  <c r="E179" i="9"/>
  <c r="H179" i="9"/>
  <c r="N179" i="9"/>
  <c r="E185" i="9"/>
  <c r="H185" i="9"/>
  <c r="K185" i="9"/>
  <c r="N185" i="9"/>
  <c r="H195" i="9"/>
  <c r="K195" i="9"/>
  <c r="N195" i="9"/>
  <c r="E195" i="9"/>
  <c r="E206" i="9"/>
  <c r="H206" i="9"/>
  <c r="K206" i="9"/>
  <c r="N206" i="9"/>
  <c r="E213" i="9"/>
  <c r="B27" i="10" s="1"/>
  <c r="H213" i="9"/>
  <c r="C27" i="10" s="1"/>
  <c r="K213" i="9"/>
  <c r="D27" i="10" s="1"/>
  <c r="N213" i="9"/>
  <c r="E27" i="10" s="1"/>
  <c r="E8" i="9"/>
  <c r="H8" i="9"/>
  <c r="K8" i="9"/>
  <c r="N8" i="9"/>
  <c r="H18" i="9"/>
  <c r="E18" i="9"/>
  <c r="K18" i="9"/>
  <c r="N18" i="9"/>
  <c r="H25" i="9"/>
  <c r="E25" i="9"/>
  <c r="N25" i="9"/>
  <c r="K25" i="9"/>
  <c r="E36" i="9"/>
  <c r="K36" i="9"/>
  <c r="N36" i="9"/>
  <c r="H36" i="9"/>
  <c r="H41" i="9"/>
  <c r="E41" i="9"/>
  <c r="N41" i="9"/>
  <c r="K41" i="9"/>
  <c r="H47" i="9"/>
  <c r="K47" i="9"/>
  <c r="E47" i="9"/>
  <c r="N47" i="9"/>
  <c r="E60" i="9"/>
  <c r="H60" i="9"/>
  <c r="K60" i="9"/>
  <c r="N60" i="9"/>
  <c r="H71" i="9"/>
  <c r="E71" i="9"/>
  <c r="K71" i="9"/>
  <c r="N71" i="9"/>
  <c r="H78" i="9"/>
  <c r="E78" i="9"/>
  <c r="K78" i="9"/>
  <c r="N78" i="9"/>
  <c r="E88" i="9"/>
  <c r="H88" i="9"/>
  <c r="K88" i="9"/>
  <c r="N88" i="9"/>
  <c r="E96" i="9"/>
  <c r="K96" i="9"/>
  <c r="H96" i="9"/>
  <c r="N96" i="9"/>
  <c r="E104" i="9"/>
  <c r="H104" i="9"/>
  <c r="K104" i="9"/>
  <c r="N104" i="9"/>
  <c r="K131" i="9"/>
  <c r="D10" i="10" s="1"/>
  <c r="H131" i="9"/>
  <c r="C10" i="10" s="1"/>
  <c r="E131" i="9"/>
  <c r="N131" i="9"/>
  <c r="E10" i="10" s="1"/>
  <c r="E140" i="9"/>
  <c r="K140" i="9"/>
  <c r="N140" i="9"/>
  <c r="H140" i="9"/>
  <c r="E148" i="9"/>
  <c r="N148" i="9"/>
  <c r="H148" i="9"/>
  <c r="K148" i="9"/>
  <c r="E156" i="9"/>
  <c r="K156" i="9"/>
  <c r="N156" i="9"/>
  <c r="H156" i="9"/>
  <c r="E164" i="9"/>
  <c r="H164" i="9"/>
  <c r="N164" i="9"/>
  <c r="K164" i="9"/>
  <c r="E174" i="9"/>
  <c r="H174" i="9"/>
  <c r="N174" i="9"/>
  <c r="K174" i="9"/>
  <c r="E184" i="9"/>
  <c r="H184" i="9"/>
  <c r="N184" i="9"/>
  <c r="K184" i="9"/>
  <c r="E190" i="9"/>
  <c r="B21" i="10" s="1"/>
  <c r="H190" i="9"/>
  <c r="C21" i="10" s="1"/>
  <c r="K190" i="9"/>
  <c r="N190" i="9"/>
  <c r="E21" i="10" s="1"/>
  <c r="E197" i="9"/>
  <c r="H197" i="9"/>
  <c r="K197" i="9"/>
  <c r="N197" i="9"/>
  <c r="E202" i="9"/>
  <c r="H202" i="9"/>
  <c r="K202" i="9"/>
  <c r="N202" i="9"/>
  <c r="E209" i="9"/>
  <c r="H209" i="9"/>
  <c r="K209" i="9"/>
  <c r="N209" i="9"/>
  <c r="H223" i="9"/>
  <c r="K223" i="9"/>
  <c r="E223" i="9"/>
  <c r="N223" i="9"/>
  <c r="S226" i="9"/>
  <c r="R226" i="9"/>
  <c r="J13" i="10"/>
  <c r="J26" i="10"/>
  <c r="J15" i="10"/>
  <c r="J20" i="10"/>
  <c r="J5" i="10"/>
  <c r="J14" i="10"/>
  <c r="H226" i="9" l="1"/>
  <c r="N226" i="9"/>
  <c r="K226" i="9"/>
  <c r="B7" i="10"/>
  <c r="E226" i="9"/>
  <c r="D21" i="10"/>
  <c r="E7" i="10"/>
  <c r="B10" i="10"/>
  <c r="D8" i="10"/>
  <c r="C18" i="10"/>
  <c r="C20" i="10"/>
  <c r="E20" i="10"/>
  <c r="D20" i="10"/>
  <c r="B20" i="10"/>
  <c r="E25" i="10"/>
  <c r="C7" i="10"/>
  <c r="E8" i="10"/>
  <c r="E5" i="10"/>
  <c r="E16" i="10"/>
  <c r="E6" i="10"/>
  <c r="D17" i="10"/>
  <c r="C26" i="10"/>
  <c r="D4" i="10"/>
  <c r="E13" i="10"/>
  <c r="E15" i="10"/>
  <c r="E22" i="10"/>
  <c r="E12" i="10"/>
  <c r="E19" i="10"/>
  <c r="E11" i="10"/>
  <c r="E9" i="10"/>
  <c r="E23" i="10"/>
  <c r="E14" i="10"/>
  <c r="D25" i="10"/>
  <c r="B5" i="10"/>
  <c r="B16" i="10"/>
  <c r="D6" i="10"/>
  <c r="C17" i="10"/>
  <c r="E26" i="10"/>
  <c r="E4" i="10"/>
  <c r="D13" i="10"/>
  <c r="C15" i="10"/>
  <c r="D22" i="10"/>
  <c r="D12" i="10"/>
  <c r="D19" i="10"/>
  <c r="D11" i="10"/>
  <c r="D9" i="10"/>
  <c r="D23" i="10"/>
  <c r="D14" i="10"/>
  <c r="C25" i="10"/>
  <c r="D7" i="10"/>
  <c r="B8" i="10"/>
  <c r="D5" i="10"/>
  <c r="D16" i="10"/>
  <c r="C6" i="10"/>
  <c r="E17" i="10"/>
  <c r="D26" i="10"/>
  <c r="C4" i="10"/>
  <c r="C13" i="10"/>
  <c r="D15" i="10"/>
  <c r="C22" i="10"/>
  <c r="C12" i="10"/>
  <c r="B19" i="10"/>
  <c r="C11" i="10"/>
  <c r="C9" i="10"/>
  <c r="C23" i="10"/>
  <c r="C14" i="10"/>
  <c r="B25" i="10"/>
  <c r="C8" i="10"/>
  <c r="C5" i="10"/>
  <c r="C16" i="10"/>
  <c r="B6" i="10"/>
  <c r="B17" i="10"/>
  <c r="B26" i="10"/>
  <c r="B4" i="10"/>
  <c r="B13" i="10"/>
  <c r="B15" i="10"/>
  <c r="B22" i="10"/>
  <c r="B12" i="10"/>
  <c r="C19" i="10"/>
  <c r="B11" i="10"/>
  <c r="B9" i="10"/>
  <c r="B23" i="10"/>
  <c r="B14" i="10"/>
  <c r="J24" i="10"/>
  <c r="J6" i="10"/>
  <c r="J22" i="10"/>
  <c r="J10" i="10"/>
  <c r="J8" i="10"/>
  <c r="J12" i="10"/>
  <c r="J27" i="10"/>
  <c r="J9" i="10"/>
  <c r="J23" i="10"/>
  <c r="J18" i="10"/>
  <c r="J25" i="10"/>
  <c r="J16" i="10"/>
  <c r="J4" i="10"/>
  <c r="J17" i="10"/>
  <c r="J21" i="10"/>
  <c r="K4" i="10"/>
  <c r="H20" i="10" s="1"/>
  <c r="F28" i="10"/>
  <c r="J19" i="10"/>
  <c r="J11" i="10"/>
  <c r="J7" i="10"/>
  <c r="G470" i="1"/>
  <c r="H470" i="1"/>
  <c r="B3" i="6" s="1"/>
  <c r="I470" i="1"/>
  <c r="J470" i="1"/>
  <c r="K470" i="1"/>
  <c r="L470" i="1"/>
  <c r="B4" i="6" s="1"/>
  <c r="M470" i="1"/>
  <c r="N470" i="1"/>
  <c r="B7" i="6" s="1"/>
  <c r="O470" i="1"/>
  <c r="P470" i="1"/>
  <c r="Q470" i="1"/>
  <c r="R470" i="1"/>
  <c r="B8" i="6" s="1"/>
  <c r="B9" i="6" s="1"/>
  <c r="S470" i="1"/>
  <c r="T470" i="1"/>
  <c r="B11" i="6" s="1"/>
  <c r="U470" i="1"/>
  <c r="V470" i="1"/>
  <c r="W470" i="1"/>
  <c r="X470" i="1"/>
  <c r="B12" i="6" s="1"/>
  <c r="B13" i="6" s="1"/>
  <c r="Y470" i="1"/>
  <c r="Z470" i="1"/>
  <c r="AA470" i="1"/>
  <c r="AB470" i="1"/>
  <c r="B16" i="6" s="1"/>
  <c r="AC470" i="1"/>
  <c r="AD470" i="1"/>
  <c r="AE470" i="1"/>
  <c r="AF470" i="1"/>
  <c r="B17" i="6" s="1"/>
  <c r="B18" i="6" s="1"/>
  <c r="AG470" i="1"/>
  <c r="AH470" i="1"/>
  <c r="B20" i="6" s="1"/>
  <c r="AI470" i="1"/>
  <c r="AJ470" i="1"/>
  <c r="AK470" i="1"/>
  <c r="AL470" i="1"/>
  <c r="B21" i="6" s="1"/>
  <c r="B22" i="6" s="1"/>
  <c r="AM470" i="1"/>
  <c r="AN470" i="1"/>
  <c r="B24" i="6" s="1"/>
  <c r="AO470" i="1"/>
  <c r="AP470" i="1"/>
  <c r="AQ470" i="1"/>
  <c r="AR470" i="1"/>
  <c r="B25" i="6" s="1"/>
  <c r="AS470" i="1"/>
  <c r="AT470" i="1"/>
  <c r="AU470" i="1"/>
  <c r="AV470" i="1"/>
  <c r="B29" i="6" s="1"/>
  <c r="AW470" i="1"/>
  <c r="AX470" i="1"/>
  <c r="AY470" i="1"/>
  <c r="AZ470" i="1"/>
  <c r="B30" i="6" s="1"/>
  <c r="BA470" i="1"/>
  <c r="BB470" i="1"/>
  <c r="B33" i="6" s="1"/>
  <c r="BC470" i="1"/>
  <c r="BD470" i="1"/>
  <c r="BE470" i="1"/>
  <c r="BF470" i="1"/>
  <c r="B34" i="6" s="1"/>
  <c r="B35" i="6" s="1"/>
  <c r="BG470" i="1"/>
  <c r="BH470" i="1"/>
  <c r="B37" i="6" s="1"/>
  <c r="BI470" i="1"/>
  <c r="BJ470" i="1"/>
  <c r="BK470" i="1"/>
  <c r="BL470" i="1"/>
  <c r="B38" i="6" s="1"/>
  <c r="B39" i="6" s="1"/>
  <c r="BM470" i="1"/>
  <c r="BN470" i="1"/>
  <c r="BO470" i="1"/>
  <c r="BP470" i="1"/>
  <c r="B42" i="6" s="1"/>
  <c r="BQ470" i="1"/>
  <c r="BR470" i="1"/>
  <c r="BS470" i="1"/>
  <c r="BT470" i="1"/>
  <c r="B43" i="6" s="1"/>
  <c r="B44" i="6" s="1"/>
  <c r="BU470" i="1"/>
  <c r="BV470" i="1"/>
  <c r="B46" i="6" s="1"/>
  <c r="BW470" i="1"/>
  <c r="BX470" i="1"/>
  <c r="BY470" i="1"/>
  <c r="BZ470" i="1"/>
  <c r="B47" i="6" s="1"/>
  <c r="B48" i="6" s="1"/>
  <c r="CA470" i="1"/>
  <c r="CB470" i="1"/>
  <c r="CC470" i="1"/>
  <c r="CD470" i="1"/>
  <c r="CE470" i="1"/>
  <c r="CF470" i="1"/>
  <c r="B51" i="6" s="1"/>
  <c r="CG470" i="1"/>
  <c r="F470" i="1"/>
  <c r="Q228" i="2"/>
  <c r="B41" i="6" s="1"/>
  <c r="O228" i="2"/>
  <c r="N228" i="2"/>
  <c r="B28" i="6" s="1"/>
  <c r="L228" i="2"/>
  <c r="K228" i="2"/>
  <c r="B15" i="6" s="1"/>
  <c r="I228" i="2"/>
  <c r="H228" i="2"/>
  <c r="B2" i="6" s="1"/>
  <c r="D228" i="2"/>
  <c r="R228" i="2"/>
  <c r="J2" i="5"/>
  <c r="J3" i="5"/>
  <c r="J4" i="5"/>
  <c r="J5" i="5"/>
  <c r="J6" i="5"/>
  <c r="J7" i="5"/>
  <c r="J8" i="5"/>
  <c r="J9" i="5"/>
  <c r="J10" i="5"/>
  <c r="J11" i="5"/>
  <c r="J12" i="5"/>
  <c r="J13" i="5"/>
  <c r="J14" i="5"/>
  <c r="J15" i="5"/>
  <c r="J16" i="5"/>
  <c r="J17" i="5"/>
  <c r="J18" i="5"/>
  <c r="J19" i="5"/>
  <c r="J20" i="5"/>
  <c r="J21" i="5"/>
  <c r="J22" i="5"/>
  <c r="J23" i="5"/>
  <c r="J24" i="5"/>
  <c r="J25" i="5"/>
  <c r="J26" i="5"/>
  <c r="J27" i="5"/>
  <c r="J28" i="5"/>
  <c r="J29" i="5"/>
  <c r="J30" i="5"/>
  <c r="J31" i="5"/>
  <c r="J32" i="5"/>
  <c r="J33" i="5"/>
  <c r="J34" i="5"/>
  <c r="J35" i="5"/>
  <c r="J36" i="5"/>
  <c r="J37" i="5"/>
  <c r="J38" i="5"/>
  <c r="J39" i="5"/>
  <c r="J40" i="5"/>
  <c r="J41" i="5"/>
  <c r="J42" i="5"/>
  <c r="J43" i="5"/>
  <c r="J44" i="5"/>
  <c r="J45" i="5"/>
  <c r="J46" i="5"/>
  <c r="J47" i="5"/>
  <c r="J48" i="5"/>
  <c r="J49" i="5"/>
  <c r="J50" i="5"/>
  <c r="J51" i="5"/>
  <c r="J52" i="5"/>
  <c r="J53" i="5"/>
  <c r="J54" i="5"/>
  <c r="J55" i="5"/>
  <c r="J56" i="5"/>
  <c r="J57" i="5"/>
  <c r="J58" i="5"/>
  <c r="J59" i="5"/>
  <c r="J60" i="5"/>
  <c r="J61" i="5"/>
  <c r="J62" i="5"/>
  <c r="J63" i="5"/>
  <c r="J64" i="5"/>
  <c r="J65" i="5"/>
  <c r="J66" i="5"/>
  <c r="J67" i="5"/>
  <c r="J68" i="5"/>
  <c r="J69" i="5"/>
  <c r="J70" i="5"/>
  <c r="J71" i="5"/>
  <c r="J72" i="5"/>
  <c r="J73" i="5"/>
  <c r="J74" i="5"/>
  <c r="J75" i="5"/>
  <c r="J76" i="5"/>
  <c r="J77" i="5"/>
  <c r="J78" i="5"/>
  <c r="J79" i="5"/>
  <c r="J80" i="5"/>
  <c r="J81" i="5"/>
  <c r="J82" i="5"/>
  <c r="J83" i="5"/>
  <c r="J84" i="5"/>
  <c r="J85" i="5"/>
  <c r="J86" i="5"/>
  <c r="J87" i="5"/>
  <c r="J88" i="5"/>
  <c r="J89" i="5"/>
  <c r="J90" i="5"/>
  <c r="J91" i="5"/>
  <c r="J92" i="5"/>
  <c r="J93" i="5"/>
  <c r="J94" i="5"/>
  <c r="J95" i="5"/>
  <c r="J96" i="5"/>
  <c r="J97" i="5"/>
  <c r="J98" i="5"/>
  <c r="J99" i="5"/>
  <c r="J100" i="5"/>
  <c r="J101" i="5"/>
  <c r="J102" i="5"/>
  <c r="J103" i="5"/>
  <c r="J104" i="5"/>
  <c r="J105" i="5"/>
  <c r="J106" i="5"/>
  <c r="J107" i="5"/>
  <c r="J108" i="5"/>
  <c r="J109" i="5"/>
  <c r="J110" i="5"/>
  <c r="J111" i="5"/>
  <c r="J112" i="5"/>
  <c r="J113" i="5"/>
  <c r="J114" i="5"/>
  <c r="J115" i="5"/>
  <c r="J116" i="5"/>
  <c r="J117" i="5"/>
  <c r="J118" i="5"/>
  <c r="J119" i="5"/>
  <c r="J120" i="5"/>
  <c r="J121" i="5"/>
  <c r="J122" i="5"/>
  <c r="J123" i="5"/>
  <c r="J124" i="5"/>
  <c r="J125" i="5"/>
  <c r="J126" i="5"/>
  <c r="J127" i="5"/>
  <c r="J128" i="5"/>
  <c r="J129" i="5"/>
  <c r="J130" i="5"/>
  <c r="J131" i="5"/>
  <c r="J132" i="5"/>
  <c r="J133" i="5"/>
  <c r="J134" i="5"/>
  <c r="J135" i="5"/>
  <c r="J136" i="5"/>
  <c r="J137" i="5"/>
  <c r="J138" i="5"/>
  <c r="J139" i="5"/>
  <c r="J140" i="5"/>
  <c r="J141" i="5"/>
  <c r="J142" i="5"/>
  <c r="J143" i="5"/>
  <c r="J144" i="5"/>
  <c r="J145" i="5"/>
  <c r="J146" i="5"/>
  <c r="J147" i="5"/>
  <c r="J148" i="5"/>
  <c r="J149" i="5"/>
  <c r="J150" i="5"/>
  <c r="J151" i="5"/>
  <c r="J152" i="5"/>
  <c r="J153" i="5"/>
  <c r="J154" i="5"/>
  <c r="J155" i="5"/>
  <c r="J156" i="5"/>
  <c r="J157" i="5"/>
  <c r="J158" i="5"/>
  <c r="J159" i="5"/>
  <c r="J160" i="5"/>
  <c r="J161" i="5"/>
  <c r="J162" i="5"/>
  <c r="J163" i="5"/>
  <c r="J164" i="5"/>
  <c r="J165" i="5"/>
  <c r="J166" i="5"/>
  <c r="J167" i="5"/>
  <c r="J168" i="5"/>
  <c r="J169" i="5"/>
  <c r="J170" i="5"/>
  <c r="J171" i="5"/>
  <c r="J172" i="5"/>
  <c r="J173" i="5"/>
  <c r="J174" i="5"/>
  <c r="J175" i="5"/>
  <c r="J176" i="5"/>
  <c r="J177" i="5"/>
  <c r="J178" i="5"/>
  <c r="J179" i="5"/>
  <c r="J180" i="5"/>
  <c r="J181" i="5"/>
  <c r="J182" i="5"/>
  <c r="J183" i="5"/>
  <c r="J184" i="5"/>
  <c r="J185" i="5"/>
  <c r="J186" i="5"/>
  <c r="J187" i="5"/>
  <c r="J188" i="5"/>
  <c r="J189" i="5"/>
  <c r="J190" i="5"/>
  <c r="J191" i="5"/>
  <c r="J192" i="5"/>
  <c r="J193" i="5"/>
  <c r="J194" i="5"/>
  <c r="J195" i="5"/>
  <c r="J196" i="5"/>
  <c r="J197" i="5"/>
  <c r="J198" i="5"/>
  <c r="J199" i="5"/>
  <c r="J200" i="5"/>
  <c r="J201" i="5"/>
  <c r="J202" i="5"/>
  <c r="J203" i="5"/>
  <c r="J204" i="5"/>
  <c r="J205" i="5"/>
  <c r="J206" i="5"/>
  <c r="J207" i="5"/>
  <c r="J208" i="5"/>
  <c r="J209" i="5"/>
  <c r="J210" i="5"/>
  <c r="J211" i="5"/>
  <c r="J212" i="5"/>
  <c r="J213" i="5"/>
  <c r="J214" i="5"/>
  <c r="J215" i="5"/>
  <c r="J216" i="5"/>
  <c r="J217" i="5"/>
  <c r="J218" i="5"/>
  <c r="J219" i="5"/>
  <c r="J220" i="5"/>
  <c r="J221" i="5"/>
  <c r="J222" i="5"/>
  <c r="J223" i="5"/>
  <c r="J224" i="5"/>
  <c r="J225" i="5"/>
  <c r="J226" i="5"/>
  <c r="J227" i="5"/>
  <c r="J228" i="5"/>
  <c r="J229" i="5"/>
  <c r="J230" i="5"/>
  <c r="J231" i="5"/>
  <c r="J232" i="5"/>
  <c r="J233" i="5"/>
  <c r="J234" i="5"/>
  <c r="J235" i="5"/>
  <c r="J236" i="5"/>
  <c r="J237" i="5"/>
  <c r="J238" i="5"/>
  <c r="J239" i="5"/>
  <c r="J240" i="5"/>
  <c r="J241" i="5"/>
  <c r="J242" i="5"/>
  <c r="J243" i="5"/>
  <c r="J244" i="5"/>
  <c r="J245" i="5"/>
  <c r="J246" i="5"/>
  <c r="J247" i="5"/>
  <c r="J248" i="5"/>
  <c r="J249" i="5"/>
  <c r="J250" i="5"/>
  <c r="J251" i="5"/>
  <c r="J252" i="5"/>
  <c r="J253" i="5"/>
  <c r="J254" i="5"/>
  <c r="J255" i="5"/>
  <c r="J256" i="5"/>
  <c r="J257" i="5"/>
  <c r="J258" i="5"/>
  <c r="J259" i="5"/>
  <c r="J260" i="5"/>
  <c r="J261" i="5"/>
  <c r="J262" i="5"/>
  <c r="J263" i="5"/>
  <c r="J264" i="5"/>
  <c r="J265" i="5"/>
  <c r="J266" i="5"/>
  <c r="J267" i="5"/>
  <c r="J268" i="5"/>
  <c r="J269" i="5"/>
  <c r="J270" i="5"/>
  <c r="J271" i="5"/>
  <c r="J272" i="5"/>
  <c r="J273" i="5"/>
  <c r="J274" i="5"/>
  <c r="J275" i="5"/>
  <c r="J276" i="5"/>
  <c r="J277" i="5"/>
  <c r="J278" i="5"/>
  <c r="J279" i="5"/>
  <c r="J280" i="5"/>
  <c r="J281" i="5"/>
  <c r="J282" i="5"/>
  <c r="J283" i="5"/>
  <c r="J284" i="5"/>
  <c r="J285" i="5"/>
  <c r="J286" i="5"/>
  <c r="J287" i="5"/>
  <c r="J288" i="5"/>
  <c r="J289" i="5"/>
  <c r="J290" i="5"/>
  <c r="J291" i="5"/>
  <c r="J292" i="5"/>
  <c r="J293" i="5"/>
  <c r="J294" i="5"/>
  <c r="J295" i="5"/>
  <c r="J296" i="5"/>
  <c r="J297" i="5"/>
  <c r="J298" i="5"/>
  <c r="J299" i="5"/>
  <c r="J300" i="5"/>
  <c r="J301" i="5"/>
  <c r="J302" i="5"/>
  <c r="J303" i="5"/>
  <c r="J304" i="5"/>
  <c r="J305" i="5"/>
  <c r="J306" i="5"/>
  <c r="J307" i="5"/>
  <c r="J308" i="5"/>
  <c r="J309" i="5"/>
  <c r="J310" i="5"/>
  <c r="J311" i="5"/>
  <c r="J312" i="5"/>
  <c r="J313" i="5"/>
  <c r="J314" i="5"/>
  <c r="J315" i="5"/>
  <c r="J316" i="5"/>
  <c r="J317" i="5"/>
  <c r="J318" i="5"/>
  <c r="J319" i="5"/>
  <c r="J320" i="5"/>
  <c r="J321" i="5"/>
  <c r="J322" i="5"/>
  <c r="J323" i="5"/>
  <c r="J324" i="5"/>
  <c r="J325" i="5"/>
  <c r="J326" i="5"/>
  <c r="J327" i="5"/>
  <c r="J328" i="5"/>
  <c r="J329" i="5"/>
  <c r="J330" i="5"/>
  <c r="J331" i="5"/>
  <c r="J332" i="5"/>
  <c r="J333" i="5"/>
  <c r="J334" i="5"/>
  <c r="J335" i="5"/>
  <c r="J336" i="5"/>
  <c r="J337" i="5"/>
  <c r="J338" i="5"/>
  <c r="J339" i="5"/>
  <c r="J340" i="5"/>
  <c r="J341" i="5"/>
  <c r="J342" i="5"/>
  <c r="J343" i="5"/>
  <c r="J344" i="5"/>
  <c r="J345" i="5"/>
  <c r="J346" i="5"/>
  <c r="J347" i="5"/>
  <c r="J348" i="5"/>
  <c r="J349" i="5"/>
  <c r="J350" i="5"/>
  <c r="J351" i="5"/>
  <c r="J352" i="5"/>
  <c r="J353" i="5"/>
  <c r="J354" i="5"/>
  <c r="J355" i="5"/>
  <c r="J356" i="5"/>
  <c r="J357" i="5"/>
  <c r="J358" i="5"/>
  <c r="J359" i="5"/>
  <c r="J360" i="5"/>
  <c r="J361" i="5"/>
  <c r="J362" i="5"/>
  <c r="J363" i="5"/>
  <c r="J364" i="5"/>
  <c r="J365" i="5"/>
  <c r="J366" i="5"/>
  <c r="J367" i="5"/>
  <c r="J368" i="5"/>
  <c r="J369" i="5"/>
  <c r="J370" i="5"/>
  <c r="J371" i="5"/>
  <c r="J372" i="5"/>
  <c r="J373" i="5"/>
  <c r="J374" i="5"/>
  <c r="J375" i="5"/>
  <c r="J376" i="5"/>
  <c r="J377" i="5"/>
  <c r="J378" i="5"/>
  <c r="J379" i="5"/>
  <c r="J380" i="5"/>
  <c r="J381" i="5"/>
  <c r="J382" i="5"/>
  <c r="J383" i="5"/>
  <c r="J384" i="5"/>
  <c r="J385" i="5"/>
  <c r="J386" i="5"/>
  <c r="J387" i="5"/>
  <c r="J388" i="5"/>
  <c r="J389" i="5"/>
  <c r="J390" i="5"/>
  <c r="J391" i="5"/>
  <c r="J392" i="5"/>
  <c r="J393" i="5"/>
  <c r="J394" i="5"/>
  <c r="J395" i="5"/>
  <c r="J396" i="5"/>
  <c r="J397" i="5"/>
  <c r="J398" i="5"/>
  <c r="J399" i="5"/>
  <c r="J400" i="5"/>
  <c r="J401" i="5"/>
  <c r="J402" i="5"/>
  <c r="J403" i="5"/>
  <c r="J404" i="5"/>
  <c r="J405" i="5"/>
  <c r="E28" i="10" l="1"/>
  <c r="D28" i="10"/>
  <c r="B28" i="10"/>
  <c r="C28" i="10"/>
  <c r="I11" i="10"/>
  <c r="I4" i="10"/>
  <c r="I25" i="10"/>
  <c r="H19" i="10"/>
  <c r="I24" i="10"/>
  <c r="H13" i="10"/>
  <c r="H18" i="10"/>
  <c r="I8" i="10"/>
  <c r="H24" i="10"/>
  <c r="H8" i="10"/>
  <c r="I7" i="10"/>
  <c r="H12" i="10"/>
  <c r="H23" i="10"/>
  <c r="I22" i="10"/>
  <c r="I10" i="10"/>
  <c r="H4" i="10"/>
  <c r="H5" i="10"/>
  <c r="I16" i="10"/>
  <c r="I13" i="10"/>
  <c r="H21" i="10"/>
  <c r="I6" i="10"/>
  <c r="H25" i="10"/>
  <c r="I9" i="10"/>
  <c r="I19" i="10"/>
  <c r="H7" i="10"/>
  <c r="I20" i="10"/>
  <c r="H22" i="10"/>
  <c r="H17" i="10"/>
  <c r="I17" i="10"/>
  <c r="I26" i="10"/>
  <c r="H10" i="10"/>
  <c r="I23" i="10"/>
  <c r="H26" i="10"/>
  <c r="I18" i="10"/>
  <c r="H14" i="10"/>
  <c r="I12" i="10"/>
  <c r="H11" i="10"/>
  <c r="I5" i="10"/>
  <c r="I15" i="10"/>
  <c r="H15" i="10"/>
  <c r="I21" i="10"/>
  <c r="H27" i="10"/>
  <c r="H9" i="10"/>
  <c r="H6" i="10"/>
  <c r="H16" i="10"/>
  <c r="I27" i="10"/>
  <c r="I14" i="10"/>
  <c r="B52" i="6"/>
  <c r="B31" i="6"/>
  <c r="B26" i="6"/>
  <c r="B5" i="6"/>
  <c r="G28" i="10"/>
  <c r="B14" i="6"/>
  <c r="B19" i="6"/>
  <c r="B53" i="6"/>
  <c r="B32" i="6"/>
  <c r="B23" i="6"/>
  <c r="B27" i="6"/>
  <c r="B36" i="6"/>
  <c r="B40" i="6"/>
  <c r="B45" i="6"/>
  <c r="B49" i="6"/>
  <c r="B6" i="6"/>
  <c r="B10" i="6"/>
  <c r="N2" i="5"/>
  <c r="N14" i="5"/>
  <c r="N3" i="5"/>
  <c r="N18" i="5"/>
  <c r="N6" i="5"/>
  <c r="N25" i="5"/>
  <c r="N21" i="5"/>
  <c r="N17" i="5"/>
  <c r="N13" i="5"/>
  <c r="N9" i="5"/>
  <c r="N5" i="5"/>
  <c r="N22" i="5"/>
  <c r="N10" i="5"/>
  <c r="N24" i="5"/>
  <c r="N20" i="5"/>
  <c r="N16" i="5"/>
  <c r="N12" i="5"/>
  <c r="N8" i="5"/>
  <c r="N4" i="5"/>
  <c r="N23" i="5"/>
  <c r="N19" i="5"/>
  <c r="N15" i="5"/>
  <c r="N11" i="5"/>
  <c r="N7" i="5"/>
  <c r="E8" i="2" l="1"/>
  <c r="D3" i="16" s="1"/>
  <c r="E5" i="2"/>
  <c r="D4" i="16" s="1"/>
  <c r="E56" i="2"/>
  <c r="D5" i="16" s="1"/>
  <c r="E53" i="2"/>
  <c r="D6" i="16" s="1"/>
  <c r="E15" i="2"/>
  <c r="D7" i="16" s="1"/>
  <c r="E16" i="2"/>
  <c r="D8" i="16" s="1"/>
  <c r="E12" i="2"/>
  <c r="D9" i="16" s="1"/>
  <c r="E17" i="2"/>
  <c r="D10" i="16" s="1"/>
  <c r="E19" i="2"/>
  <c r="D11" i="16" s="1"/>
  <c r="E13" i="2"/>
  <c r="D12" i="16" s="1"/>
  <c r="E14" i="2"/>
  <c r="D13" i="16" s="1"/>
  <c r="E4" i="2"/>
  <c r="D14" i="16" s="1"/>
  <c r="E11" i="2"/>
  <c r="D15" i="16" s="1"/>
  <c r="E10" i="2"/>
  <c r="D16" i="16" s="1"/>
  <c r="E18" i="2"/>
  <c r="D17" i="16" s="1"/>
  <c r="E9" i="2"/>
  <c r="D18" i="16" s="1"/>
  <c r="E20" i="2"/>
  <c r="D19" i="16" s="1"/>
  <c r="E21" i="2"/>
  <c r="D20" i="16" s="1"/>
  <c r="E32" i="2"/>
  <c r="D21" i="16" s="1"/>
  <c r="E7" i="2"/>
  <c r="D22" i="16" s="1"/>
  <c r="E38" i="2"/>
  <c r="D23" i="16" s="1"/>
  <c r="E40" i="2"/>
  <c r="D24" i="16" s="1"/>
  <c r="E45" i="2"/>
  <c r="D25" i="16" s="1"/>
  <c r="E27" i="2"/>
  <c r="D26" i="16" s="1"/>
  <c r="E48" i="2"/>
  <c r="D27" i="16" s="1"/>
  <c r="E49" i="2"/>
  <c r="D28" i="16" s="1"/>
  <c r="E50" i="2"/>
  <c r="D29" i="16" s="1"/>
  <c r="E51" i="2"/>
  <c r="D30" i="16" s="1"/>
  <c r="E52" i="2"/>
  <c r="D31" i="16" s="1"/>
  <c r="E54" i="2"/>
  <c r="D32" i="16" s="1"/>
  <c r="E34" i="2"/>
  <c r="D33" i="16" s="1"/>
  <c r="E35" i="2"/>
  <c r="D34" i="16" s="1"/>
  <c r="E36" i="2"/>
  <c r="D35" i="16" s="1"/>
  <c r="E43" i="2"/>
  <c r="D36" i="16" s="1"/>
  <c r="E24" i="2"/>
  <c r="D37" i="16" s="1"/>
  <c r="E41" i="2"/>
  <c r="D38" i="16" s="1"/>
  <c r="E26" i="2"/>
  <c r="D39" i="16" s="1"/>
  <c r="E23" i="2"/>
  <c r="D40" i="16" s="1"/>
  <c r="E28" i="2"/>
  <c r="D41" i="16" s="1"/>
  <c r="E39" i="2"/>
  <c r="D42" i="16" s="1"/>
  <c r="E31" i="2"/>
  <c r="D43" i="16" s="1"/>
  <c r="E30" i="2"/>
  <c r="D44" i="16" s="1"/>
  <c r="E46" i="2"/>
  <c r="D45" i="16" s="1"/>
  <c r="E47" i="2"/>
  <c r="D46" i="16" s="1"/>
  <c r="E55" i="2"/>
  <c r="D47" i="16" s="1"/>
  <c r="E33" i="2"/>
  <c r="D48" i="16" s="1"/>
  <c r="E42" i="2"/>
  <c r="D49" i="16" s="1"/>
  <c r="E37" i="2"/>
  <c r="D50" i="16" s="1"/>
  <c r="E44" i="2"/>
  <c r="D51" i="16" s="1"/>
  <c r="E22" i="2"/>
  <c r="D52" i="16" s="1"/>
  <c r="E6" i="2"/>
  <c r="D53" i="16" s="1"/>
  <c r="E25" i="2"/>
  <c r="D54" i="16" s="1"/>
  <c r="E29" i="2"/>
  <c r="D55" i="16" s="1"/>
  <c r="E103" i="2"/>
  <c r="D56" i="16" s="1"/>
  <c r="E83" i="2"/>
  <c r="D57" i="16" s="1"/>
  <c r="E82" i="2"/>
  <c r="D58" i="16" s="1"/>
  <c r="E80" i="2"/>
  <c r="D59" i="16" s="1"/>
  <c r="E84" i="2"/>
  <c r="D60" i="16" s="1"/>
  <c r="E87" i="2"/>
  <c r="D61" i="16" s="1"/>
  <c r="E88" i="2"/>
  <c r="D62" i="16" s="1"/>
  <c r="E68" i="2"/>
  <c r="D63" i="16" s="1"/>
  <c r="E70" i="2"/>
  <c r="D64" i="16" s="1"/>
  <c r="E73" i="2"/>
  <c r="D65" i="16" s="1"/>
  <c r="E69" i="2"/>
  <c r="D66" i="16" s="1"/>
  <c r="E81" i="2"/>
  <c r="D67" i="16" s="1"/>
  <c r="E79" i="2"/>
  <c r="D68" i="16" s="1"/>
  <c r="E75" i="2"/>
  <c r="D69" i="16" s="1"/>
  <c r="E76" i="2"/>
  <c r="D70" i="16" s="1"/>
  <c r="E86" i="2"/>
  <c r="D71" i="16" s="1"/>
  <c r="E63" i="2"/>
  <c r="D72" i="16" s="1"/>
  <c r="E74" i="2"/>
  <c r="D73" i="16" s="1"/>
  <c r="E60" i="2"/>
  <c r="D74" i="16" s="1"/>
  <c r="E67" i="2"/>
  <c r="D75" i="16" s="1"/>
  <c r="E71" i="2"/>
  <c r="D76" i="16" s="1"/>
  <c r="E85" i="2"/>
  <c r="D77" i="16" s="1"/>
  <c r="E65" i="2"/>
  <c r="D78" i="16" s="1"/>
  <c r="E78" i="2"/>
  <c r="D79" i="16" s="1"/>
  <c r="E64" i="2"/>
  <c r="D80" i="16" s="1"/>
  <c r="E59" i="2"/>
  <c r="D81" i="16" s="1"/>
  <c r="E62" i="2"/>
  <c r="D82" i="16" s="1"/>
  <c r="E61" i="2"/>
  <c r="D83" i="16" s="1"/>
  <c r="E77" i="2"/>
  <c r="D84" i="16" s="1"/>
  <c r="E58" i="2"/>
  <c r="D85" i="16" s="1"/>
  <c r="E72" i="2"/>
  <c r="D86" i="16" s="1"/>
  <c r="E66" i="2"/>
  <c r="D87" i="16" s="1"/>
  <c r="E90" i="2"/>
  <c r="D88" i="16" s="1"/>
  <c r="E92" i="2"/>
  <c r="D89" i="16" s="1"/>
  <c r="E91" i="2"/>
  <c r="D90" i="16" s="1"/>
  <c r="E94" i="2"/>
  <c r="D91" i="16" s="1"/>
  <c r="E93" i="2"/>
  <c r="D92" i="16" s="1"/>
  <c r="E116" i="2"/>
  <c r="D93" i="16" s="1"/>
  <c r="E134" i="2"/>
  <c r="D94" i="16" s="1"/>
  <c r="E96" i="2"/>
  <c r="D95" i="16" s="1"/>
  <c r="E97" i="2"/>
  <c r="D96" i="16" s="1"/>
  <c r="E98" i="2"/>
  <c r="D97" i="16" s="1"/>
  <c r="E89" i="2"/>
  <c r="D98" i="16" s="1"/>
  <c r="E102" i="2"/>
  <c r="D99" i="16" s="1"/>
  <c r="E100" i="2"/>
  <c r="D100" i="16" s="1"/>
  <c r="E57" i="2"/>
  <c r="D101" i="16" s="1"/>
  <c r="E101" i="2"/>
  <c r="D102" i="16" s="1"/>
  <c r="E104" i="2"/>
  <c r="D103" i="16" s="1"/>
  <c r="E107" i="2"/>
  <c r="D104" i="16" s="1"/>
  <c r="E106" i="2"/>
  <c r="D105" i="16" s="1"/>
  <c r="E115" i="2"/>
  <c r="D106" i="16" s="1"/>
  <c r="E108" i="2"/>
  <c r="D107" i="16" s="1"/>
  <c r="E109" i="2"/>
  <c r="D108" i="16" s="1"/>
  <c r="E110" i="2"/>
  <c r="D109" i="16" s="1"/>
  <c r="E111" i="2"/>
  <c r="D110" i="16" s="1"/>
  <c r="E112" i="2"/>
  <c r="D111" i="16" s="1"/>
  <c r="E95" i="2"/>
  <c r="D112" i="16" s="1"/>
  <c r="E114" i="2"/>
  <c r="D113" i="16" s="1"/>
  <c r="E105" i="2"/>
  <c r="D114" i="16" s="1"/>
  <c r="E117" i="2"/>
  <c r="D115" i="16" s="1"/>
  <c r="E99" i="2"/>
  <c r="D116" i="16" s="1"/>
  <c r="E118" i="2"/>
  <c r="D117" i="16" s="1"/>
  <c r="E119" i="2"/>
  <c r="D118" i="16" s="1"/>
  <c r="E120" i="2"/>
  <c r="D119" i="16" s="1"/>
  <c r="E121" i="2"/>
  <c r="D120" i="16" s="1"/>
  <c r="E122" i="2"/>
  <c r="D121" i="16" s="1"/>
  <c r="E123" i="2"/>
  <c r="D122" i="16" s="1"/>
  <c r="E124" i="2"/>
  <c r="D123" i="16" s="1"/>
  <c r="E125" i="2"/>
  <c r="E126" i="2"/>
  <c r="D124" i="16" s="1"/>
  <c r="E127" i="2"/>
  <c r="D125" i="16" s="1"/>
  <c r="E128" i="2"/>
  <c r="D126" i="16" s="1"/>
  <c r="E129" i="2"/>
  <c r="D127" i="16" s="1"/>
  <c r="E130" i="2"/>
  <c r="D128" i="16" s="1"/>
  <c r="E131" i="2"/>
  <c r="D129" i="16" s="1"/>
  <c r="E132" i="2"/>
  <c r="D130" i="16" s="1"/>
  <c r="E133" i="2"/>
  <c r="D131" i="16" s="1"/>
  <c r="E113" i="2"/>
  <c r="D132" i="16" s="1"/>
  <c r="E135" i="2"/>
  <c r="D133" i="16" s="1"/>
  <c r="E136" i="2"/>
  <c r="D134" i="16" s="1"/>
  <c r="E137" i="2"/>
  <c r="D135" i="16" s="1"/>
  <c r="E138" i="2"/>
  <c r="D136" i="16" s="1"/>
  <c r="E139" i="2"/>
  <c r="D137" i="16" s="1"/>
  <c r="E140" i="2"/>
  <c r="D138" i="16" s="1"/>
  <c r="E141" i="2"/>
  <c r="D139" i="16" s="1"/>
  <c r="E142" i="2"/>
  <c r="D140" i="16" s="1"/>
  <c r="E143" i="2"/>
  <c r="D141" i="16" s="1"/>
  <c r="E144" i="2"/>
  <c r="D142" i="16" s="1"/>
  <c r="E145" i="2"/>
  <c r="D143" i="16" s="1"/>
  <c r="E146" i="2"/>
  <c r="D144" i="16" s="1"/>
  <c r="E147" i="2"/>
  <c r="D145" i="16" s="1"/>
  <c r="E148" i="2"/>
  <c r="D146" i="16" s="1"/>
  <c r="E149" i="2"/>
  <c r="D147" i="16" s="1"/>
  <c r="E150" i="2"/>
  <c r="D148" i="16" s="1"/>
  <c r="E151" i="2"/>
  <c r="D149" i="16" s="1"/>
  <c r="E152" i="2"/>
  <c r="D150" i="16" s="1"/>
  <c r="E153" i="2"/>
  <c r="D151" i="16" s="1"/>
  <c r="E154" i="2"/>
  <c r="D152" i="16" s="1"/>
  <c r="E155" i="2"/>
  <c r="D153" i="16" s="1"/>
  <c r="E156" i="2"/>
  <c r="D154" i="16" s="1"/>
  <c r="E157" i="2"/>
  <c r="D155" i="16" s="1"/>
  <c r="E158" i="2"/>
  <c r="D156" i="16" s="1"/>
  <c r="E159" i="2"/>
  <c r="D157" i="16" s="1"/>
  <c r="E160" i="2"/>
  <c r="D158" i="16" s="1"/>
  <c r="E161" i="2"/>
  <c r="D159" i="16" s="1"/>
  <c r="E162" i="2"/>
  <c r="D160" i="16" s="1"/>
  <c r="E163" i="2"/>
  <c r="D161" i="16" s="1"/>
  <c r="E164" i="2"/>
  <c r="D162" i="16" s="1"/>
  <c r="E165" i="2"/>
  <c r="D163" i="16" s="1"/>
  <c r="E166" i="2"/>
  <c r="D164" i="16" s="1"/>
  <c r="E167" i="2"/>
  <c r="D165" i="16" s="1"/>
  <c r="E168" i="2"/>
  <c r="D166" i="16" s="1"/>
  <c r="E169" i="2"/>
  <c r="D167" i="16" s="1"/>
  <c r="E170" i="2"/>
  <c r="D168" i="16" s="1"/>
  <c r="E171" i="2"/>
  <c r="D169" i="16" s="1"/>
  <c r="E172" i="2"/>
  <c r="D170" i="16" s="1"/>
  <c r="E173" i="2"/>
  <c r="D171" i="16" s="1"/>
  <c r="E174" i="2"/>
  <c r="D172" i="16" s="1"/>
  <c r="E175" i="2"/>
  <c r="D173" i="16" s="1"/>
  <c r="E177" i="2"/>
  <c r="D174" i="16" s="1"/>
  <c r="E176" i="2"/>
  <c r="D175" i="16" s="1"/>
  <c r="E178" i="2"/>
  <c r="D176" i="16" s="1"/>
  <c r="E179" i="2"/>
  <c r="D177" i="16" s="1"/>
  <c r="E181" i="2"/>
  <c r="D178" i="16" s="1"/>
  <c r="E180" i="2"/>
  <c r="D179" i="16" s="1"/>
  <c r="E182" i="2"/>
  <c r="D180" i="16" s="1"/>
  <c r="E183" i="2"/>
  <c r="D181" i="16" s="1"/>
  <c r="E184" i="2"/>
  <c r="D182" i="16" s="1"/>
  <c r="E185" i="2"/>
  <c r="D183" i="16" s="1"/>
  <c r="E186" i="2"/>
  <c r="D184" i="16" s="1"/>
  <c r="E187" i="2"/>
  <c r="D185" i="16" s="1"/>
  <c r="E188" i="2"/>
  <c r="D186" i="16" s="1"/>
  <c r="E189" i="2"/>
  <c r="D187" i="16" s="1"/>
  <c r="E192" i="2"/>
  <c r="E191" i="2"/>
  <c r="D188" i="16" s="1"/>
  <c r="E190" i="2"/>
  <c r="D189" i="16" s="1"/>
  <c r="E193" i="2"/>
  <c r="D190" i="16" s="1"/>
  <c r="E194" i="2"/>
  <c r="D191" i="16" s="1"/>
  <c r="E195" i="2"/>
  <c r="D192" i="16" s="1"/>
  <c r="E196" i="2"/>
  <c r="D193" i="16" s="1"/>
  <c r="E205" i="2"/>
  <c r="D194" i="16" s="1"/>
  <c r="E199" i="2"/>
  <c r="D195" i="16" s="1"/>
  <c r="E197" i="2"/>
  <c r="D196" i="16" s="1"/>
  <c r="E198" i="2"/>
  <c r="D197" i="16" s="1"/>
  <c r="E201" i="2"/>
  <c r="D198" i="16" s="1"/>
  <c r="E202" i="2"/>
  <c r="D199" i="16" s="1"/>
  <c r="E203" i="2"/>
  <c r="D200" i="16" s="1"/>
  <c r="E204" i="2"/>
  <c r="D201" i="16" s="1"/>
  <c r="E200" i="2"/>
  <c r="D202" i="16" s="1"/>
  <c r="E206" i="2"/>
  <c r="D203" i="16" s="1"/>
  <c r="E207" i="2"/>
  <c r="D204" i="16" s="1"/>
  <c r="E208" i="2"/>
  <c r="D205" i="16" s="1"/>
  <c r="E209" i="2"/>
  <c r="D206" i="16" s="1"/>
  <c r="E210" i="2"/>
  <c r="D207" i="16" s="1"/>
  <c r="E211" i="2"/>
  <c r="D208" i="16" s="1"/>
  <c r="E212" i="2"/>
  <c r="D209" i="16" s="1"/>
  <c r="E214" i="2"/>
  <c r="D210" i="16" s="1"/>
  <c r="E213" i="2"/>
  <c r="D211" i="16" s="1"/>
  <c r="E215" i="2"/>
  <c r="D212" i="16" s="1"/>
  <c r="E221" i="2"/>
  <c r="D213" i="16" s="1"/>
  <c r="E220" i="2"/>
  <c r="D214" i="16" s="1"/>
  <c r="E223" i="2"/>
  <c r="D215" i="16" s="1"/>
  <c r="E217" i="2"/>
  <c r="D216" i="16" s="1"/>
  <c r="E219" i="2"/>
  <c r="D217" i="16" s="1"/>
  <c r="E216" i="2"/>
  <c r="D218" i="16" s="1"/>
  <c r="E222" i="2"/>
  <c r="D219" i="16" s="1"/>
  <c r="E218" i="2"/>
  <c r="D220" i="16" s="1"/>
  <c r="E224" i="2"/>
  <c r="D221" i="16" s="1"/>
  <c r="E225" i="2"/>
  <c r="D222" i="16" s="1"/>
  <c r="E226" i="2"/>
  <c r="D223" i="16" s="1"/>
  <c r="E227" i="2"/>
  <c r="D224" i="16" s="1"/>
  <c r="E3" i="2"/>
  <c r="D2" i="16" s="1"/>
  <c r="M50" i="16" l="1"/>
  <c r="N50" i="16" s="1"/>
  <c r="G50" i="16"/>
  <c r="H50" i="16" s="1"/>
  <c r="J50" i="16"/>
  <c r="K50" i="16" s="1"/>
  <c r="J46" i="16"/>
  <c r="K46" i="16" s="1"/>
  <c r="G46" i="16"/>
  <c r="H46" i="16" s="1"/>
  <c r="M46" i="16"/>
  <c r="N46" i="16" s="1"/>
  <c r="J42" i="16"/>
  <c r="K42" i="16" s="1"/>
  <c r="G42" i="16"/>
  <c r="H42" i="16" s="1"/>
  <c r="M42" i="16"/>
  <c r="N42" i="16" s="1"/>
  <c r="J38" i="16"/>
  <c r="K38" i="16" s="1"/>
  <c r="G38" i="16"/>
  <c r="H38" i="16" s="1"/>
  <c r="M38" i="16"/>
  <c r="N38" i="16" s="1"/>
  <c r="M34" i="16"/>
  <c r="N34" i="16" s="1"/>
  <c r="G34" i="16"/>
  <c r="H34" i="16" s="1"/>
  <c r="J34" i="16"/>
  <c r="K34" i="16" s="1"/>
  <c r="M30" i="16"/>
  <c r="N30" i="16" s="1"/>
  <c r="G30" i="16"/>
  <c r="H30" i="16" s="1"/>
  <c r="J30" i="16"/>
  <c r="K30" i="16" s="1"/>
  <c r="M26" i="16"/>
  <c r="N26" i="16" s="1"/>
  <c r="G26" i="16"/>
  <c r="H26" i="16" s="1"/>
  <c r="J26" i="16"/>
  <c r="K26" i="16" s="1"/>
  <c r="J22" i="16"/>
  <c r="K22" i="16" s="1"/>
  <c r="M22" i="16"/>
  <c r="N22" i="16" s="1"/>
  <c r="G22" i="16"/>
  <c r="H22" i="16" s="1"/>
  <c r="J18" i="16"/>
  <c r="K18" i="16" s="1"/>
  <c r="G18" i="16"/>
  <c r="H18" i="16" s="1"/>
  <c r="M18" i="16"/>
  <c r="N18" i="16" s="1"/>
  <c r="J14" i="16"/>
  <c r="K14" i="16" s="1"/>
  <c r="G14" i="16"/>
  <c r="H14" i="16" s="1"/>
  <c r="M14" i="16"/>
  <c r="N14" i="16" s="1"/>
  <c r="J10" i="16"/>
  <c r="K10" i="16" s="1"/>
  <c r="M10" i="16"/>
  <c r="N10" i="16" s="1"/>
  <c r="G10" i="16"/>
  <c r="H10" i="16" s="1"/>
  <c r="J6" i="16"/>
  <c r="K6" i="16" s="1"/>
  <c r="M6" i="16"/>
  <c r="N6" i="16" s="1"/>
  <c r="G6" i="16"/>
  <c r="H6" i="16" s="1"/>
  <c r="J223" i="16"/>
  <c r="K223" i="16" s="1"/>
  <c r="M223" i="16"/>
  <c r="N223" i="16" s="1"/>
  <c r="G223" i="16"/>
  <c r="H223" i="16" s="1"/>
  <c r="J219" i="16"/>
  <c r="K219" i="16" s="1"/>
  <c r="M219" i="16"/>
  <c r="N219" i="16" s="1"/>
  <c r="G219" i="16"/>
  <c r="H219" i="16" s="1"/>
  <c r="M215" i="16"/>
  <c r="N215" i="16" s="1"/>
  <c r="J215" i="16"/>
  <c r="K215" i="16" s="1"/>
  <c r="G215" i="16"/>
  <c r="H215" i="16" s="1"/>
  <c r="M211" i="16"/>
  <c r="N211" i="16" s="1"/>
  <c r="G211" i="16"/>
  <c r="H211" i="16" s="1"/>
  <c r="J211" i="16"/>
  <c r="K211" i="16" s="1"/>
  <c r="J207" i="16"/>
  <c r="K207" i="16" s="1"/>
  <c r="M207" i="16"/>
  <c r="N207" i="16" s="1"/>
  <c r="G207" i="16"/>
  <c r="H207" i="16" s="1"/>
  <c r="J203" i="16"/>
  <c r="K203" i="16" s="1"/>
  <c r="M203" i="16"/>
  <c r="N203" i="16" s="1"/>
  <c r="G203" i="16"/>
  <c r="H203" i="16" s="1"/>
  <c r="J199" i="16"/>
  <c r="K199" i="16" s="1"/>
  <c r="M199" i="16"/>
  <c r="N199" i="16" s="1"/>
  <c r="G199" i="16"/>
  <c r="H199" i="16" s="1"/>
  <c r="M195" i="16"/>
  <c r="N195" i="16" s="1"/>
  <c r="J195" i="16"/>
  <c r="K195" i="16" s="1"/>
  <c r="G195" i="16"/>
  <c r="H195" i="16" s="1"/>
  <c r="J191" i="16"/>
  <c r="K191" i="16" s="1"/>
  <c r="M191" i="16"/>
  <c r="N191" i="16" s="1"/>
  <c r="G191" i="16"/>
  <c r="H191" i="16" s="1"/>
  <c r="J184" i="16"/>
  <c r="K184" i="16" s="1"/>
  <c r="G184" i="16"/>
  <c r="H184" i="16" s="1"/>
  <c r="M184" i="16"/>
  <c r="N184" i="16" s="1"/>
  <c r="M180" i="16"/>
  <c r="N180" i="16" s="1"/>
  <c r="J180" i="16"/>
  <c r="K180" i="16" s="1"/>
  <c r="G180" i="16"/>
  <c r="H180" i="16" s="1"/>
  <c r="J176" i="16"/>
  <c r="K176" i="16" s="1"/>
  <c r="M176" i="16"/>
  <c r="N176" i="16" s="1"/>
  <c r="G176" i="16"/>
  <c r="H176" i="16" s="1"/>
  <c r="M172" i="16"/>
  <c r="N172" i="16" s="1"/>
  <c r="J172" i="16"/>
  <c r="K172" i="16" s="1"/>
  <c r="G172" i="16"/>
  <c r="H172" i="16" s="1"/>
  <c r="J168" i="16"/>
  <c r="K168" i="16" s="1"/>
  <c r="G168" i="16"/>
  <c r="H168" i="16" s="1"/>
  <c r="M168" i="16"/>
  <c r="N168" i="16" s="1"/>
  <c r="M164" i="16"/>
  <c r="N164" i="16" s="1"/>
  <c r="G164" i="16"/>
  <c r="H164" i="16" s="1"/>
  <c r="J164" i="16"/>
  <c r="K164" i="16" s="1"/>
  <c r="J160" i="16"/>
  <c r="K160" i="16" s="1"/>
  <c r="M160" i="16"/>
  <c r="N160" i="16" s="1"/>
  <c r="G160" i="16"/>
  <c r="H160" i="16" s="1"/>
  <c r="M156" i="16"/>
  <c r="N156" i="16" s="1"/>
  <c r="J156" i="16"/>
  <c r="K156" i="16" s="1"/>
  <c r="G156" i="16"/>
  <c r="H156" i="16" s="1"/>
  <c r="J152" i="16"/>
  <c r="K152" i="16" s="1"/>
  <c r="G152" i="16"/>
  <c r="H152" i="16" s="1"/>
  <c r="M152" i="16"/>
  <c r="N152" i="16" s="1"/>
  <c r="M148" i="16"/>
  <c r="N148" i="16" s="1"/>
  <c r="J148" i="16"/>
  <c r="K148" i="16" s="1"/>
  <c r="G148" i="16"/>
  <c r="H148" i="16" s="1"/>
  <c r="J144" i="16"/>
  <c r="K144" i="16" s="1"/>
  <c r="M144" i="16"/>
  <c r="N144" i="16" s="1"/>
  <c r="G144" i="16"/>
  <c r="H144" i="16" s="1"/>
  <c r="M140" i="16"/>
  <c r="N140" i="16" s="1"/>
  <c r="J140" i="16"/>
  <c r="K140" i="16" s="1"/>
  <c r="G140" i="16"/>
  <c r="H140" i="16" s="1"/>
  <c r="J136" i="16"/>
  <c r="K136" i="16" s="1"/>
  <c r="G136" i="16"/>
  <c r="H136" i="16" s="1"/>
  <c r="M136" i="16"/>
  <c r="N136" i="16" s="1"/>
  <c r="M132" i="16"/>
  <c r="N132" i="16" s="1"/>
  <c r="G132" i="16"/>
  <c r="H132" i="16" s="1"/>
  <c r="J132" i="16"/>
  <c r="K132" i="16" s="1"/>
  <c r="J128" i="16"/>
  <c r="K128" i="16" s="1"/>
  <c r="G128" i="16"/>
  <c r="H128" i="16" s="1"/>
  <c r="M128" i="16"/>
  <c r="N128" i="16" s="1"/>
  <c r="M124" i="16"/>
  <c r="N124" i="16" s="1"/>
  <c r="J124" i="16"/>
  <c r="K124" i="16" s="1"/>
  <c r="G124" i="16"/>
  <c r="H124" i="16" s="1"/>
  <c r="J121" i="16"/>
  <c r="K121" i="16" s="1"/>
  <c r="M121" i="16"/>
  <c r="N121" i="16" s="1"/>
  <c r="G121" i="16"/>
  <c r="H121" i="16" s="1"/>
  <c r="J117" i="16"/>
  <c r="K117" i="16" s="1"/>
  <c r="G117" i="16"/>
  <c r="H117" i="16" s="1"/>
  <c r="M117" i="16"/>
  <c r="N117" i="16" s="1"/>
  <c r="J113" i="16"/>
  <c r="K113" i="16" s="1"/>
  <c r="G113" i="16"/>
  <c r="H113" i="16" s="1"/>
  <c r="M113" i="16"/>
  <c r="N113" i="16" s="1"/>
  <c r="J109" i="16"/>
  <c r="K109" i="16" s="1"/>
  <c r="M109" i="16"/>
  <c r="N109" i="16" s="1"/>
  <c r="G109" i="16"/>
  <c r="H109" i="16" s="1"/>
  <c r="J105" i="16"/>
  <c r="K105" i="16" s="1"/>
  <c r="M105" i="16"/>
  <c r="N105" i="16" s="1"/>
  <c r="G105" i="16"/>
  <c r="H105" i="16" s="1"/>
  <c r="J101" i="16"/>
  <c r="K101" i="16" s="1"/>
  <c r="G101" i="16"/>
  <c r="H101" i="16" s="1"/>
  <c r="M101" i="16"/>
  <c r="N101" i="16" s="1"/>
  <c r="J97" i="16"/>
  <c r="K97" i="16" s="1"/>
  <c r="G97" i="16"/>
  <c r="H97" i="16" s="1"/>
  <c r="M97" i="16"/>
  <c r="N97" i="16" s="1"/>
  <c r="J93" i="16"/>
  <c r="K93" i="16" s="1"/>
  <c r="M93" i="16"/>
  <c r="N93" i="16" s="1"/>
  <c r="G93" i="16"/>
  <c r="H93" i="16" s="1"/>
  <c r="J89" i="16"/>
  <c r="K89" i="16" s="1"/>
  <c r="M89" i="16"/>
  <c r="N89" i="16" s="1"/>
  <c r="G89" i="16"/>
  <c r="H89" i="16" s="1"/>
  <c r="J85" i="16"/>
  <c r="K85" i="16" s="1"/>
  <c r="G85" i="16"/>
  <c r="H85" i="16" s="1"/>
  <c r="M85" i="16"/>
  <c r="N85" i="16" s="1"/>
  <c r="J81" i="16"/>
  <c r="K81" i="16" s="1"/>
  <c r="M81" i="16"/>
  <c r="N81" i="16" s="1"/>
  <c r="G81" i="16"/>
  <c r="H81" i="16" s="1"/>
  <c r="J77" i="16"/>
  <c r="K77" i="16" s="1"/>
  <c r="M77" i="16"/>
  <c r="N77" i="16" s="1"/>
  <c r="G77" i="16"/>
  <c r="H77" i="16" s="1"/>
  <c r="J73" i="16"/>
  <c r="K73" i="16" s="1"/>
  <c r="M73" i="16"/>
  <c r="N73" i="16" s="1"/>
  <c r="G73" i="16"/>
  <c r="H73" i="16" s="1"/>
  <c r="J69" i="16"/>
  <c r="K69" i="16" s="1"/>
  <c r="M69" i="16"/>
  <c r="N69" i="16" s="1"/>
  <c r="G69" i="16"/>
  <c r="H69" i="16" s="1"/>
  <c r="J65" i="16"/>
  <c r="K65" i="16" s="1"/>
  <c r="G65" i="16"/>
  <c r="H65" i="16" s="1"/>
  <c r="M65" i="16"/>
  <c r="N65" i="16" s="1"/>
  <c r="J61" i="16"/>
  <c r="K61" i="16" s="1"/>
  <c r="M61" i="16"/>
  <c r="N61" i="16" s="1"/>
  <c r="G61" i="16"/>
  <c r="H61" i="16" s="1"/>
  <c r="J57" i="16"/>
  <c r="K57" i="16" s="1"/>
  <c r="M57" i="16"/>
  <c r="N57" i="16" s="1"/>
  <c r="G57" i="16"/>
  <c r="H57" i="16" s="1"/>
  <c r="J53" i="16"/>
  <c r="K53" i="16" s="1"/>
  <c r="G53" i="16"/>
  <c r="H53" i="16" s="1"/>
  <c r="M53" i="16"/>
  <c r="N53" i="16" s="1"/>
  <c r="J49" i="16"/>
  <c r="K49" i="16" s="1"/>
  <c r="M49" i="16"/>
  <c r="N49" i="16" s="1"/>
  <c r="G49" i="16"/>
  <c r="H49" i="16" s="1"/>
  <c r="J45" i="16"/>
  <c r="K45" i="16" s="1"/>
  <c r="M45" i="16"/>
  <c r="N45" i="16" s="1"/>
  <c r="G45" i="16"/>
  <c r="H45" i="16" s="1"/>
  <c r="J41" i="16"/>
  <c r="K41" i="16" s="1"/>
  <c r="M41" i="16"/>
  <c r="N41" i="16" s="1"/>
  <c r="G41" i="16"/>
  <c r="H41" i="16" s="1"/>
  <c r="J37" i="16"/>
  <c r="K37" i="16" s="1"/>
  <c r="G37" i="16"/>
  <c r="H37" i="16" s="1"/>
  <c r="M37" i="16"/>
  <c r="N37" i="16" s="1"/>
  <c r="J33" i="16"/>
  <c r="K33" i="16" s="1"/>
  <c r="M33" i="16"/>
  <c r="N33" i="16" s="1"/>
  <c r="G33" i="16"/>
  <c r="H33" i="16" s="1"/>
  <c r="J29" i="16"/>
  <c r="K29" i="16" s="1"/>
  <c r="M29" i="16"/>
  <c r="N29" i="16" s="1"/>
  <c r="G29" i="16"/>
  <c r="H29" i="16" s="1"/>
  <c r="J25" i="16"/>
  <c r="K25" i="16" s="1"/>
  <c r="M25" i="16"/>
  <c r="N25" i="16" s="1"/>
  <c r="G25" i="16"/>
  <c r="H25" i="16" s="1"/>
  <c r="J21" i="16"/>
  <c r="K21" i="16" s="1"/>
  <c r="G21" i="16"/>
  <c r="H21" i="16" s="1"/>
  <c r="M21" i="16"/>
  <c r="N21" i="16" s="1"/>
  <c r="J17" i="16"/>
  <c r="K17" i="16" s="1"/>
  <c r="M17" i="16"/>
  <c r="N17" i="16" s="1"/>
  <c r="G17" i="16"/>
  <c r="H17" i="16" s="1"/>
  <c r="J13" i="16"/>
  <c r="K13" i="16" s="1"/>
  <c r="M13" i="16"/>
  <c r="N13" i="16" s="1"/>
  <c r="G13" i="16"/>
  <c r="H13" i="16" s="1"/>
  <c r="J9" i="16"/>
  <c r="K9" i="16" s="1"/>
  <c r="M9" i="16"/>
  <c r="N9" i="16" s="1"/>
  <c r="G9" i="16"/>
  <c r="H9" i="16" s="1"/>
  <c r="J5" i="16"/>
  <c r="K5" i="16" s="1"/>
  <c r="M5" i="16"/>
  <c r="N5" i="16" s="1"/>
  <c r="G5" i="16"/>
  <c r="H5" i="16" s="1"/>
  <c r="J224" i="16"/>
  <c r="K224" i="16" s="1"/>
  <c r="M224" i="16"/>
  <c r="N224" i="16" s="1"/>
  <c r="G224" i="16"/>
  <c r="H224" i="16" s="1"/>
  <c r="M216" i="16"/>
  <c r="N216" i="16" s="1"/>
  <c r="J216" i="16"/>
  <c r="K216" i="16" s="1"/>
  <c r="G216" i="16"/>
  <c r="H216" i="16" s="1"/>
  <c r="J204" i="16"/>
  <c r="K204" i="16" s="1"/>
  <c r="M204" i="16"/>
  <c r="N204" i="16" s="1"/>
  <c r="G204" i="16"/>
  <c r="H204" i="16" s="1"/>
  <c r="M196" i="16"/>
  <c r="N196" i="16" s="1"/>
  <c r="J196" i="16"/>
  <c r="K196" i="16" s="1"/>
  <c r="G196" i="16"/>
  <c r="H196" i="16" s="1"/>
  <c r="J185" i="16"/>
  <c r="K185" i="16" s="1"/>
  <c r="M185" i="16"/>
  <c r="N185" i="16" s="1"/>
  <c r="G185" i="16"/>
  <c r="H185" i="16" s="1"/>
  <c r="J177" i="16"/>
  <c r="K177" i="16" s="1"/>
  <c r="G177" i="16"/>
  <c r="H177" i="16" s="1"/>
  <c r="M177" i="16"/>
  <c r="N177" i="16" s="1"/>
  <c r="J169" i="16"/>
  <c r="K169" i="16" s="1"/>
  <c r="M169" i="16"/>
  <c r="N169" i="16" s="1"/>
  <c r="G169" i="16"/>
  <c r="H169" i="16" s="1"/>
  <c r="J157" i="16"/>
  <c r="K157" i="16" s="1"/>
  <c r="M157" i="16"/>
  <c r="N157" i="16" s="1"/>
  <c r="G157" i="16"/>
  <c r="H157" i="16" s="1"/>
  <c r="J149" i="16"/>
  <c r="K149" i="16" s="1"/>
  <c r="G149" i="16"/>
  <c r="H149" i="16" s="1"/>
  <c r="M149" i="16"/>
  <c r="N149" i="16" s="1"/>
  <c r="J137" i="16"/>
  <c r="K137" i="16" s="1"/>
  <c r="M137" i="16"/>
  <c r="N137" i="16" s="1"/>
  <c r="G137" i="16"/>
  <c r="H137" i="16" s="1"/>
  <c r="J129" i="16"/>
  <c r="K129" i="16" s="1"/>
  <c r="G129" i="16"/>
  <c r="H129" i="16" s="1"/>
  <c r="M129" i="16"/>
  <c r="N129" i="16" s="1"/>
  <c r="J125" i="16"/>
  <c r="K125" i="16" s="1"/>
  <c r="M125" i="16"/>
  <c r="N125" i="16" s="1"/>
  <c r="G125" i="16"/>
  <c r="H125" i="16" s="1"/>
  <c r="J118" i="16"/>
  <c r="K118" i="16" s="1"/>
  <c r="M118" i="16"/>
  <c r="N118" i="16" s="1"/>
  <c r="G118" i="16"/>
  <c r="H118" i="16" s="1"/>
  <c r="M110" i="16"/>
  <c r="N110" i="16" s="1"/>
  <c r="G110" i="16"/>
  <c r="H110" i="16" s="1"/>
  <c r="J110" i="16"/>
  <c r="K110" i="16" s="1"/>
  <c r="M102" i="16"/>
  <c r="N102" i="16" s="1"/>
  <c r="J102" i="16"/>
  <c r="K102" i="16" s="1"/>
  <c r="G102" i="16"/>
  <c r="H102" i="16" s="1"/>
  <c r="M94" i="16"/>
  <c r="N94" i="16" s="1"/>
  <c r="G94" i="16"/>
  <c r="H94" i="16" s="1"/>
  <c r="J94" i="16"/>
  <c r="K94" i="16" s="1"/>
  <c r="J86" i="16"/>
  <c r="K86" i="16" s="1"/>
  <c r="M86" i="16"/>
  <c r="N86" i="16" s="1"/>
  <c r="G86" i="16"/>
  <c r="H86" i="16" s="1"/>
  <c r="M78" i="16"/>
  <c r="N78" i="16" s="1"/>
  <c r="G78" i="16"/>
  <c r="H78" i="16" s="1"/>
  <c r="J78" i="16"/>
  <c r="K78" i="16" s="1"/>
  <c r="J70" i="16"/>
  <c r="K70" i="16" s="1"/>
  <c r="M70" i="16"/>
  <c r="N70" i="16" s="1"/>
  <c r="G70" i="16"/>
  <c r="H70" i="16" s="1"/>
  <c r="M62" i="16"/>
  <c r="N62" i="16" s="1"/>
  <c r="G62" i="16"/>
  <c r="H62" i="16" s="1"/>
  <c r="J62" i="16"/>
  <c r="K62" i="16" s="1"/>
  <c r="J54" i="16"/>
  <c r="K54" i="16" s="1"/>
  <c r="G54" i="16"/>
  <c r="H54" i="16" s="1"/>
  <c r="M54" i="16"/>
  <c r="N54" i="16" s="1"/>
  <c r="M218" i="16"/>
  <c r="N218" i="16" s="1"/>
  <c r="G218" i="16"/>
  <c r="H218" i="16" s="1"/>
  <c r="J218" i="16"/>
  <c r="K218" i="16" s="1"/>
  <c r="M210" i="16"/>
  <c r="N210" i="16" s="1"/>
  <c r="J210" i="16"/>
  <c r="K210" i="16" s="1"/>
  <c r="G210" i="16"/>
  <c r="H210" i="16" s="1"/>
  <c r="J198" i="16"/>
  <c r="K198" i="16" s="1"/>
  <c r="M198" i="16"/>
  <c r="N198" i="16" s="1"/>
  <c r="G198" i="16"/>
  <c r="H198" i="16" s="1"/>
  <c r="M190" i="16"/>
  <c r="N190" i="16" s="1"/>
  <c r="G190" i="16"/>
  <c r="H190" i="16" s="1"/>
  <c r="J190" i="16"/>
  <c r="K190" i="16" s="1"/>
  <c r="J183" i="16"/>
  <c r="K183" i="16" s="1"/>
  <c r="G183" i="16"/>
  <c r="H183" i="16" s="1"/>
  <c r="M183" i="16"/>
  <c r="N183" i="16" s="1"/>
  <c r="J179" i="16"/>
  <c r="K179" i="16" s="1"/>
  <c r="M179" i="16"/>
  <c r="N179" i="16" s="1"/>
  <c r="G179" i="16"/>
  <c r="H179" i="16" s="1"/>
  <c r="J175" i="16"/>
  <c r="K175" i="16" s="1"/>
  <c r="M175" i="16"/>
  <c r="N175" i="16" s="1"/>
  <c r="G175" i="16"/>
  <c r="H175" i="16" s="1"/>
  <c r="J171" i="16"/>
  <c r="K171" i="16" s="1"/>
  <c r="M171" i="16"/>
  <c r="N171" i="16" s="1"/>
  <c r="G171" i="16"/>
  <c r="H171" i="16" s="1"/>
  <c r="J167" i="16"/>
  <c r="K167" i="16" s="1"/>
  <c r="G167" i="16"/>
  <c r="H167" i="16" s="1"/>
  <c r="M167" i="16"/>
  <c r="N167" i="16" s="1"/>
  <c r="J163" i="16"/>
  <c r="K163" i="16" s="1"/>
  <c r="M163" i="16"/>
  <c r="N163" i="16" s="1"/>
  <c r="G163" i="16"/>
  <c r="H163" i="16" s="1"/>
  <c r="J159" i="16"/>
  <c r="K159" i="16" s="1"/>
  <c r="M159" i="16"/>
  <c r="N159" i="16" s="1"/>
  <c r="G159" i="16"/>
  <c r="H159" i="16" s="1"/>
  <c r="J155" i="16"/>
  <c r="K155" i="16" s="1"/>
  <c r="M155" i="16"/>
  <c r="N155" i="16" s="1"/>
  <c r="G155" i="16"/>
  <c r="H155" i="16" s="1"/>
  <c r="J151" i="16"/>
  <c r="K151" i="16" s="1"/>
  <c r="G151" i="16"/>
  <c r="H151" i="16" s="1"/>
  <c r="M151" i="16"/>
  <c r="N151" i="16" s="1"/>
  <c r="J147" i="16"/>
  <c r="K147" i="16" s="1"/>
  <c r="G147" i="16"/>
  <c r="H147" i="16" s="1"/>
  <c r="M147" i="16"/>
  <c r="N147" i="16" s="1"/>
  <c r="J143" i="16"/>
  <c r="K143" i="16" s="1"/>
  <c r="M143" i="16"/>
  <c r="N143" i="16" s="1"/>
  <c r="G143" i="16"/>
  <c r="H143" i="16" s="1"/>
  <c r="M139" i="16"/>
  <c r="N139" i="16" s="1"/>
  <c r="J139" i="16"/>
  <c r="K139" i="16" s="1"/>
  <c r="G139" i="16"/>
  <c r="H139" i="16" s="1"/>
  <c r="J135" i="16"/>
  <c r="K135" i="16" s="1"/>
  <c r="M135" i="16"/>
  <c r="N135" i="16" s="1"/>
  <c r="G135" i="16"/>
  <c r="H135" i="16" s="1"/>
  <c r="J131" i="16"/>
  <c r="K131" i="16" s="1"/>
  <c r="G131" i="16"/>
  <c r="H131" i="16" s="1"/>
  <c r="M131" i="16"/>
  <c r="N131" i="16" s="1"/>
  <c r="J127" i="16"/>
  <c r="K127" i="16" s="1"/>
  <c r="M127" i="16"/>
  <c r="N127" i="16" s="1"/>
  <c r="G127" i="16"/>
  <c r="H127" i="16" s="1"/>
  <c r="J120" i="16"/>
  <c r="K120" i="16" s="1"/>
  <c r="G120" i="16"/>
  <c r="H120" i="16" s="1"/>
  <c r="M120" i="16"/>
  <c r="N120" i="16" s="1"/>
  <c r="M116" i="16"/>
  <c r="N116" i="16" s="1"/>
  <c r="J116" i="16"/>
  <c r="K116" i="16" s="1"/>
  <c r="G116" i="16"/>
  <c r="H116" i="16" s="1"/>
  <c r="J112" i="16"/>
  <c r="K112" i="16" s="1"/>
  <c r="M112" i="16"/>
  <c r="N112" i="16" s="1"/>
  <c r="G112" i="16"/>
  <c r="H112" i="16" s="1"/>
  <c r="J108" i="16"/>
  <c r="K108" i="16" s="1"/>
  <c r="M108" i="16"/>
  <c r="N108" i="16" s="1"/>
  <c r="G108" i="16"/>
  <c r="H108" i="16" s="1"/>
  <c r="J104" i="16"/>
  <c r="K104" i="16" s="1"/>
  <c r="G104" i="16"/>
  <c r="H104" i="16" s="1"/>
  <c r="M104" i="16"/>
  <c r="N104" i="16" s="1"/>
  <c r="J100" i="16"/>
  <c r="K100" i="16" s="1"/>
  <c r="M100" i="16"/>
  <c r="N100" i="16" s="1"/>
  <c r="G100" i="16"/>
  <c r="H100" i="16" s="1"/>
  <c r="J96" i="16"/>
  <c r="K96" i="16" s="1"/>
  <c r="M96" i="16"/>
  <c r="N96" i="16" s="1"/>
  <c r="G96" i="16"/>
  <c r="H96" i="16" s="1"/>
  <c r="J92" i="16"/>
  <c r="K92" i="16" s="1"/>
  <c r="M92" i="16"/>
  <c r="N92" i="16" s="1"/>
  <c r="G92" i="16"/>
  <c r="H92" i="16" s="1"/>
  <c r="J88" i="16"/>
  <c r="K88" i="16" s="1"/>
  <c r="M88" i="16"/>
  <c r="N88" i="16" s="1"/>
  <c r="G88" i="16"/>
  <c r="H88" i="16" s="1"/>
  <c r="J84" i="16"/>
  <c r="K84" i="16" s="1"/>
  <c r="M84" i="16"/>
  <c r="N84" i="16" s="1"/>
  <c r="G84" i="16"/>
  <c r="H84" i="16" s="1"/>
  <c r="J80" i="16"/>
  <c r="K80" i="16" s="1"/>
  <c r="M80" i="16"/>
  <c r="N80" i="16" s="1"/>
  <c r="G80" i="16"/>
  <c r="H80" i="16" s="1"/>
  <c r="J76" i="16"/>
  <c r="K76" i="16" s="1"/>
  <c r="M76" i="16"/>
  <c r="N76" i="16" s="1"/>
  <c r="G76" i="16"/>
  <c r="H76" i="16" s="1"/>
  <c r="J72" i="16"/>
  <c r="K72" i="16" s="1"/>
  <c r="G72" i="16"/>
  <c r="H72" i="16" s="1"/>
  <c r="M72" i="16"/>
  <c r="N72" i="16" s="1"/>
  <c r="J68" i="16"/>
  <c r="K68" i="16" s="1"/>
  <c r="G68" i="16"/>
  <c r="H68" i="16" s="1"/>
  <c r="M68" i="16"/>
  <c r="N68" i="16" s="1"/>
  <c r="M64" i="16"/>
  <c r="N64" i="16" s="1"/>
  <c r="J64" i="16"/>
  <c r="K64" i="16" s="1"/>
  <c r="G64" i="16"/>
  <c r="H64" i="16" s="1"/>
  <c r="J60" i="16"/>
  <c r="K60" i="16" s="1"/>
  <c r="M60" i="16"/>
  <c r="N60" i="16" s="1"/>
  <c r="G60" i="16"/>
  <c r="H60" i="16" s="1"/>
  <c r="J56" i="16"/>
  <c r="K56" i="16" s="1"/>
  <c r="M56" i="16"/>
  <c r="N56" i="16" s="1"/>
  <c r="G56" i="16"/>
  <c r="H56" i="16" s="1"/>
  <c r="J52" i="16"/>
  <c r="K52" i="16" s="1"/>
  <c r="M52" i="16"/>
  <c r="N52" i="16" s="1"/>
  <c r="G52" i="16"/>
  <c r="H52" i="16" s="1"/>
  <c r="J48" i="16"/>
  <c r="K48" i="16" s="1"/>
  <c r="M48" i="16"/>
  <c r="N48" i="16" s="1"/>
  <c r="G48" i="16"/>
  <c r="H48" i="16" s="1"/>
  <c r="J44" i="16"/>
  <c r="K44" i="16" s="1"/>
  <c r="G44" i="16"/>
  <c r="H44" i="16" s="1"/>
  <c r="M44" i="16"/>
  <c r="N44" i="16" s="1"/>
  <c r="J40" i="16"/>
  <c r="K40" i="16" s="1"/>
  <c r="G40" i="16"/>
  <c r="H40" i="16" s="1"/>
  <c r="M40" i="16"/>
  <c r="N40" i="16" s="1"/>
  <c r="J36" i="16"/>
  <c r="K36" i="16" s="1"/>
  <c r="G36" i="16"/>
  <c r="H36" i="16" s="1"/>
  <c r="M36" i="16"/>
  <c r="N36" i="16" s="1"/>
  <c r="J32" i="16"/>
  <c r="K32" i="16" s="1"/>
  <c r="M32" i="16"/>
  <c r="N32" i="16" s="1"/>
  <c r="G32" i="16"/>
  <c r="H32" i="16" s="1"/>
  <c r="J28" i="16"/>
  <c r="K28" i="16" s="1"/>
  <c r="M28" i="16"/>
  <c r="N28" i="16" s="1"/>
  <c r="G28" i="16"/>
  <c r="H28" i="16" s="1"/>
  <c r="J24" i="16"/>
  <c r="K24" i="16" s="1"/>
  <c r="G24" i="16"/>
  <c r="H24" i="16" s="1"/>
  <c r="M24" i="16"/>
  <c r="N24" i="16" s="1"/>
  <c r="J20" i="16"/>
  <c r="K20" i="16" s="1"/>
  <c r="M20" i="16"/>
  <c r="N20" i="16" s="1"/>
  <c r="G20" i="16"/>
  <c r="H20" i="16" s="1"/>
  <c r="J16" i="16"/>
  <c r="K16" i="16" s="1"/>
  <c r="M16" i="16"/>
  <c r="N16" i="16" s="1"/>
  <c r="G16" i="16"/>
  <c r="H16" i="16" s="1"/>
  <c r="J12" i="16"/>
  <c r="K12" i="16" s="1"/>
  <c r="M12" i="16"/>
  <c r="N12" i="16" s="1"/>
  <c r="G12" i="16"/>
  <c r="H12" i="16" s="1"/>
  <c r="J8" i="16"/>
  <c r="K8" i="16" s="1"/>
  <c r="G8" i="16"/>
  <c r="H8" i="16" s="1"/>
  <c r="M8" i="16"/>
  <c r="N8" i="16" s="1"/>
  <c r="J4" i="16"/>
  <c r="K4" i="16" s="1"/>
  <c r="M4" i="16"/>
  <c r="N4" i="16" s="1"/>
  <c r="G4" i="16"/>
  <c r="H4" i="16" s="1"/>
  <c r="J220" i="16"/>
  <c r="K220" i="16" s="1"/>
  <c r="M220" i="16"/>
  <c r="N220" i="16" s="1"/>
  <c r="G220" i="16"/>
  <c r="H220" i="16" s="1"/>
  <c r="J212" i="16"/>
  <c r="K212" i="16" s="1"/>
  <c r="M212" i="16"/>
  <c r="N212" i="16" s="1"/>
  <c r="G212" i="16"/>
  <c r="H212" i="16" s="1"/>
  <c r="J208" i="16"/>
  <c r="K208" i="16" s="1"/>
  <c r="M208" i="16"/>
  <c r="N208" i="16" s="1"/>
  <c r="G208" i="16"/>
  <c r="H208" i="16" s="1"/>
  <c r="J200" i="16"/>
  <c r="K200" i="16" s="1"/>
  <c r="G200" i="16"/>
  <c r="H200" i="16" s="1"/>
  <c r="M200" i="16"/>
  <c r="N200" i="16" s="1"/>
  <c r="J192" i="16"/>
  <c r="K192" i="16" s="1"/>
  <c r="G192" i="16"/>
  <c r="H192" i="16" s="1"/>
  <c r="M192" i="16"/>
  <c r="N192" i="16" s="1"/>
  <c r="M188" i="16"/>
  <c r="N188" i="16" s="1"/>
  <c r="J188" i="16"/>
  <c r="K188" i="16" s="1"/>
  <c r="G188" i="16"/>
  <c r="H188" i="16" s="1"/>
  <c r="J181" i="16"/>
  <c r="K181" i="16" s="1"/>
  <c r="G181" i="16"/>
  <c r="H181" i="16" s="1"/>
  <c r="M181" i="16"/>
  <c r="N181" i="16" s="1"/>
  <c r="J173" i="16"/>
  <c r="K173" i="16" s="1"/>
  <c r="G173" i="16"/>
  <c r="H173" i="16" s="1"/>
  <c r="M173" i="16"/>
  <c r="N173" i="16" s="1"/>
  <c r="J165" i="16"/>
  <c r="K165" i="16" s="1"/>
  <c r="M165" i="16"/>
  <c r="N165" i="16" s="1"/>
  <c r="G165" i="16"/>
  <c r="H165" i="16" s="1"/>
  <c r="J161" i="16"/>
  <c r="K161" i="16" s="1"/>
  <c r="M161" i="16"/>
  <c r="N161" i="16" s="1"/>
  <c r="G161" i="16"/>
  <c r="H161" i="16" s="1"/>
  <c r="J153" i="16"/>
  <c r="K153" i="16" s="1"/>
  <c r="M153" i="16"/>
  <c r="N153" i="16" s="1"/>
  <c r="G153" i="16"/>
  <c r="H153" i="16" s="1"/>
  <c r="J145" i="16"/>
  <c r="K145" i="16" s="1"/>
  <c r="M145" i="16"/>
  <c r="N145" i="16" s="1"/>
  <c r="G145" i="16"/>
  <c r="H145" i="16" s="1"/>
  <c r="J141" i="16"/>
  <c r="K141" i="16" s="1"/>
  <c r="M141" i="16"/>
  <c r="N141" i="16" s="1"/>
  <c r="G141" i="16"/>
  <c r="H141" i="16" s="1"/>
  <c r="J133" i="16"/>
  <c r="K133" i="16" s="1"/>
  <c r="G133" i="16"/>
  <c r="H133" i="16" s="1"/>
  <c r="M133" i="16"/>
  <c r="N133" i="16" s="1"/>
  <c r="M122" i="16"/>
  <c r="N122" i="16" s="1"/>
  <c r="G122" i="16"/>
  <c r="H122" i="16" s="1"/>
  <c r="J122" i="16"/>
  <c r="K122" i="16" s="1"/>
  <c r="J114" i="16"/>
  <c r="K114" i="16" s="1"/>
  <c r="M114" i="16"/>
  <c r="N114" i="16" s="1"/>
  <c r="G114" i="16"/>
  <c r="H114" i="16" s="1"/>
  <c r="M106" i="16"/>
  <c r="N106" i="16" s="1"/>
  <c r="J106" i="16"/>
  <c r="K106" i="16" s="1"/>
  <c r="G106" i="16"/>
  <c r="H106" i="16" s="1"/>
  <c r="J98" i="16"/>
  <c r="K98" i="16" s="1"/>
  <c r="M98" i="16"/>
  <c r="N98" i="16" s="1"/>
  <c r="G98" i="16"/>
  <c r="H98" i="16" s="1"/>
  <c r="M90" i="16"/>
  <c r="N90" i="16" s="1"/>
  <c r="G90" i="16"/>
  <c r="H90" i="16" s="1"/>
  <c r="J90" i="16"/>
  <c r="K90" i="16" s="1"/>
  <c r="J82" i="16"/>
  <c r="K82" i="16" s="1"/>
  <c r="G82" i="16"/>
  <c r="H82" i="16" s="1"/>
  <c r="M82" i="16"/>
  <c r="N82" i="16" s="1"/>
  <c r="M74" i="16"/>
  <c r="N74" i="16" s="1"/>
  <c r="G74" i="16"/>
  <c r="H74" i="16" s="1"/>
  <c r="J74" i="16"/>
  <c r="K74" i="16" s="1"/>
  <c r="J66" i="16"/>
  <c r="K66" i="16" s="1"/>
  <c r="G66" i="16"/>
  <c r="H66" i="16" s="1"/>
  <c r="M66" i="16"/>
  <c r="N66" i="16" s="1"/>
  <c r="M58" i="16"/>
  <c r="N58" i="16" s="1"/>
  <c r="G58" i="16"/>
  <c r="H58" i="16" s="1"/>
  <c r="J58" i="16"/>
  <c r="K58" i="16" s="1"/>
  <c r="J222" i="16"/>
  <c r="K222" i="16" s="1"/>
  <c r="M222" i="16"/>
  <c r="N222" i="16" s="1"/>
  <c r="G222" i="16"/>
  <c r="H222" i="16" s="1"/>
  <c r="J214" i="16"/>
  <c r="K214" i="16" s="1"/>
  <c r="M214" i="16"/>
  <c r="N214" i="16" s="1"/>
  <c r="G214" i="16"/>
  <c r="H214" i="16" s="1"/>
  <c r="J206" i="16"/>
  <c r="K206" i="16" s="1"/>
  <c r="G206" i="16"/>
  <c r="H206" i="16" s="1"/>
  <c r="M206" i="16"/>
  <c r="N206" i="16" s="1"/>
  <c r="J202" i="16"/>
  <c r="K202" i="16" s="1"/>
  <c r="M202" i="16"/>
  <c r="N202" i="16" s="1"/>
  <c r="G202" i="16"/>
  <c r="H202" i="16" s="1"/>
  <c r="J194" i="16"/>
  <c r="K194" i="16" s="1"/>
  <c r="G194" i="16"/>
  <c r="H194" i="16" s="1"/>
  <c r="M194" i="16"/>
  <c r="N194" i="16" s="1"/>
  <c r="J187" i="16"/>
  <c r="K187" i="16" s="1"/>
  <c r="M187" i="16"/>
  <c r="N187" i="16" s="1"/>
  <c r="G187" i="16"/>
  <c r="H187" i="16" s="1"/>
  <c r="J2" i="16"/>
  <c r="K2" i="16" s="1"/>
  <c r="G2" i="16"/>
  <c r="H2" i="16" s="1"/>
  <c r="M2" i="16"/>
  <c r="N2" i="16" s="1"/>
  <c r="J221" i="16"/>
  <c r="K221" i="16" s="1"/>
  <c r="M221" i="16"/>
  <c r="N221" i="16" s="1"/>
  <c r="G221" i="16"/>
  <c r="H221" i="16" s="1"/>
  <c r="J217" i="16"/>
  <c r="K217" i="16" s="1"/>
  <c r="M217" i="16"/>
  <c r="N217" i="16" s="1"/>
  <c r="G217" i="16"/>
  <c r="H217" i="16" s="1"/>
  <c r="J213" i="16"/>
  <c r="K213" i="16" s="1"/>
  <c r="M213" i="16"/>
  <c r="N213" i="16" s="1"/>
  <c r="G213" i="16"/>
  <c r="H213" i="16" s="1"/>
  <c r="J209" i="16"/>
  <c r="K209" i="16" s="1"/>
  <c r="M209" i="16"/>
  <c r="N209" i="16" s="1"/>
  <c r="G209" i="16"/>
  <c r="H209" i="16" s="1"/>
  <c r="J205" i="16"/>
  <c r="K205" i="16" s="1"/>
  <c r="M205" i="16"/>
  <c r="N205" i="16" s="1"/>
  <c r="G205" i="16"/>
  <c r="H205" i="16" s="1"/>
  <c r="J201" i="16"/>
  <c r="K201" i="16" s="1"/>
  <c r="M201" i="16"/>
  <c r="N201" i="16" s="1"/>
  <c r="G201" i="16"/>
  <c r="H201" i="16" s="1"/>
  <c r="J197" i="16"/>
  <c r="K197" i="16" s="1"/>
  <c r="G197" i="16"/>
  <c r="H197" i="16" s="1"/>
  <c r="M197" i="16"/>
  <c r="N197" i="16" s="1"/>
  <c r="J193" i="16"/>
  <c r="K193" i="16" s="1"/>
  <c r="M193" i="16"/>
  <c r="N193" i="16" s="1"/>
  <c r="G193" i="16"/>
  <c r="H193" i="16" s="1"/>
  <c r="J189" i="16"/>
  <c r="K189" i="16" s="1"/>
  <c r="M189" i="16"/>
  <c r="N189" i="16" s="1"/>
  <c r="G189" i="16"/>
  <c r="H189" i="16" s="1"/>
  <c r="J186" i="16"/>
  <c r="K186" i="16" s="1"/>
  <c r="M186" i="16"/>
  <c r="N186" i="16" s="1"/>
  <c r="G186" i="16"/>
  <c r="H186" i="16" s="1"/>
  <c r="J182" i="16"/>
  <c r="K182" i="16" s="1"/>
  <c r="M182" i="16"/>
  <c r="N182" i="16" s="1"/>
  <c r="G182" i="16"/>
  <c r="H182" i="16" s="1"/>
  <c r="M178" i="16"/>
  <c r="N178" i="16" s="1"/>
  <c r="J178" i="16"/>
  <c r="K178" i="16" s="1"/>
  <c r="G178" i="16"/>
  <c r="H178" i="16" s="1"/>
  <c r="J174" i="16"/>
  <c r="K174" i="16" s="1"/>
  <c r="M174" i="16"/>
  <c r="N174" i="16" s="1"/>
  <c r="G174" i="16"/>
  <c r="H174" i="16" s="1"/>
  <c r="J170" i="16"/>
  <c r="K170" i="16" s="1"/>
  <c r="G170" i="16"/>
  <c r="H170" i="16" s="1"/>
  <c r="M170" i="16"/>
  <c r="N170" i="16" s="1"/>
  <c r="J166" i="16"/>
  <c r="K166" i="16" s="1"/>
  <c r="M166" i="16"/>
  <c r="N166" i="16" s="1"/>
  <c r="G166" i="16"/>
  <c r="H166" i="16" s="1"/>
  <c r="M162" i="16"/>
  <c r="N162" i="16" s="1"/>
  <c r="G162" i="16"/>
  <c r="H162" i="16" s="1"/>
  <c r="J162" i="16"/>
  <c r="K162" i="16" s="1"/>
  <c r="M158" i="16"/>
  <c r="N158" i="16" s="1"/>
  <c r="G158" i="16"/>
  <c r="H158" i="16" s="1"/>
  <c r="J158" i="16"/>
  <c r="K158" i="16" s="1"/>
  <c r="M154" i="16"/>
  <c r="N154" i="16" s="1"/>
  <c r="J154" i="16"/>
  <c r="K154" i="16" s="1"/>
  <c r="G154" i="16"/>
  <c r="H154" i="16" s="1"/>
  <c r="M150" i="16"/>
  <c r="N150" i="16" s="1"/>
  <c r="J150" i="16"/>
  <c r="K150" i="16" s="1"/>
  <c r="G150" i="16"/>
  <c r="H150" i="16" s="1"/>
  <c r="J146" i="16"/>
  <c r="K146" i="16" s="1"/>
  <c r="G146" i="16"/>
  <c r="H146" i="16" s="1"/>
  <c r="M146" i="16"/>
  <c r="N146" i="16" s="1"/>
  <c r="M142" i="16"/>
  <c r="N142" i="16" s="1"/>
  <c r="G142" i="16"/>
  <c r="H142" i="16" s="1"/>
  <c r="J142" i="16"/>
  <c r="K142" i="16" s="1"/>
  <c r="M138" i="16"/>
  <c r="N138" i="16" s="1"/>
  <c r="J138" i="16"/>
  <c r="K138" i="16" s="1"/>
  <c r="G138" i="16"/>
  <c r="H138" i="16" s="1"/>
  <c r="J134" i="16"/>
  <c r="K134" i="16" s="1"/>
  <c r="G134" i="16"/>
  <c r="H134" i="16" s="1"/>
  <c r="M134" i="16"/>
  <c r="N134" i="16" s="1"/>
  <c r="J130" i="16"/>
  <c r="K130" i="16" s="1"/>
  <c r="G130" i="16"/>
  <c r="H130" i="16" s="1"/>
  <c r="M130" i="16"/>
  <c r="N130" i="16" s="1"/>
  <c r="M126" i="16"/>
  <c r="N126" i="16" s="1"/>
  <c r="G126" i="16"/>
  <c r="H126" i="16" s="1"/>
  <c r="J126" i="16"/>
  <c r="K126" i="16" s="1"/>
  <c r="J123" i="16"/>
  <c r="K123" i="16" s="1"/>
  <c r="M123" i="16"/>
  <c r="N123" i="16" s="1"/>
  <c r="G123" i="16"/>
  <c r="H123" i="16" s="1"/>
  <c r="J119" i="16"/>
  <c r="K119" i="16" s="1"/>
  <c r="G119" i="16"/>
  <c r="H119" i="16" s="1"/>
  <c r="M119" i="16"/>
  <c r="N119" i="16" s="1"/>
  <c r="J115" i="16"/>
  <c r="K115" i="16" s="1"/>
  <c r="M115" i="16"/>
  <c r="N115" i="16" s="1"/>
  <c r="G115" i="16"/>
  <c r="H115" i="16" s="1"/>
  <c r="M111" i="16"/>
  <c r="N111" i="16" s="1"/>
  <c r="J111" i="16"/>
  <c r="K111" i="16" s="1"/>
  <c r="G111" i="16"/>
  <c r="H111" i="16" s="1"/>
  <c r="M107" i="16"/>
  <c r="N107" i="16" s="1"/>
  <c r="J107" i="16"/>
  <c r="K107" i="16" s="1"/>
  <c r="G107" i="16"/>
  <c r="H107" i="16" s="1"/>
  <c r="M103" i="16"/>
  <c r="N103" i="16" s="1"/>
  <c r="G103" i="16"/>
  <c r="H103" i="16" s="1"/>
  <c r="J103" i="16"/>
  <c r="K103" i="16" s="1"/>
  <c r="J99" i="16"/>
  <c r="K99" i="16" s="1"/>
  <c r="M99" i="16"/>
  <c r="N99" i="16" s="1"/>
  <c r="G99" i="16"/>
  <c r="H99" i="16" s="1"/>
  <c r="M95" i="16"/>
  <c r="N95" i="16" s="1"/>
  <c r="G95" i="16"/>
  <c r="H95" i="16" s="1"/>
  <c r="J95" i="16"/>
  <c r="K95" i="16" s="1"/>
  <c r="M91" i="16"/>
  <c r="N91" i="16" s="1"/>
  <c r="J91" i="16"/>
  <c r="K91" i="16" s="1"/>
  <c r="G91" i="16"/>
  <c r="H91" i="16" s="1"/>
  <c r="J87" i="16"/>
  <c r="K87" i="16" s="1"/>
  <c r="M87" i="16"/>
  <c r="N87" i="16" s="1"/>
  <c r="G87" i="16"/>
  <c r="H87" i="16" s="1"/>
  <c r="J83" i="16"/>
  <c r="K83" i="16" s="1"/>
  <c r="M83" i="16"/>
  <c r="N83" i="16" s="1"/>
  <c r="G83" i="16"/>
  <c r="H83" i="16" s="1"/>
  <c r="M79" i="16"/>
  <c r="N79" i="16" s="1"/>
  <c r="J79" i="16"/>
  <c r="K79" i="16" s="1"/>
  <c r="G79" i="16"/>
  <c r="H79" i="16" s="1"/>
  <c r="M75" i="16"/>
  <c r="N75" i="16" s="1"/>
  <c r="J75" i="16"/>
  <c r="K75" i="16" s="1"/>
  <c r="G75" i="16"/>
  <c r="H75" i="16" s="1"/>
  <c r="J71" i="16"/>
  <c r="K71" i="16" s="1"/>
  <c r="M71" i="16"/>
  <c r="N71" i="16" s="1"/>
  <c r="G71" i="16"/>
  <c r="H71" i="16" s="1"/>
  <c r="J67" i="16"/>
  <c r="K67" i="16" s="1"/>
  <c r="M67" i="16"/>
  <c r="N67" i="16" s="1"/>
  <c r="G67" i="16"/>
  <c r="H67" i="16" s="1"/>
  <c r="M63" i="16"/>
  <c r="N63" i="16" s="1"/>
  <c r="J63" i="16"/>
  <c r="K63" i="16" s="1"/>
  <c r="G63" i="16"/>
  <c r="H63" i="16" s="1"/>
  <c r="M59" i="16"/>
  <c r="N59" i="16" s="1"/>
  <c r="J59" i="16"/>
  <c r="K59" i="16" s="1"/>
  <c r="G59" i="16"/>
  <c r="H59" i="16" s="1"/>
  <c r="J55" i="16"/>
  <c r="K55" i="16" s="1"/>
  <c r="G55" i="16"/>
  <c r="H55" i="16" s="1"/>
  <c r="M55" i="16"/>
  <c r="N55" i="16" s="1"/>
  <c r="J51" i="16"/>
  <c r="K51" i="16" s="1"/>
  <c r="G51" i="16"/>
  <c r="H51" i="16" s="1"/>
  <c r="M51" i="16"/>
  <c r="N51" i="16" s="1"/>
  <c r="M47" i="16"/>
  <c r="N47" i="16" s="1"/>
  <c r="J47" i="16"/>
  <c r="K47" i="16" s="1"/>
  <c r="G47" i="16"/>
  <c r="H47" i="16" s="1"/>
  <c r="M43" i="16"/>
  <c r="N43" i="16" s="1"/>
  <c r="J43" i="16"/>
  <c r="K43" i="16" s="1"/>
  <c r="G43" i="16"/>
  <c r="H43" i="16" s="1"/>
  <c r="J39" i="16"/>
  <c r="K39" i="16" s="1"/>
  <c r="M39" i="16"/>
  <c r="N39" i="16" s="1"/>
  <c r="G39" i="16"/>
  <c r="H39" i="16" s="1"/>
  <c r="J35" i="16"/>
  <c r="K35" i="16" s="1"/>
  <c r="M35" i="16"/>
  <c r="N35" i="16" s="1"/>
  <c r="G35" i="16"/>
  <c r="H35" i="16" s="1"/>
  <c r="M31" i="16"/>
  <c r="N31" i="16" s="1"/>
  <c r="J31" i="16"/>
  <c r="K31" i="16" s="1"/>
  <c r="G31" i="16"/>
  <c r="H31" i="16" s="1"/>
  <c r="M27" i="16"/>
  <c r="N27" i="16" s="1"/>
  <c r="J27" i="16"/>
  <c r="K27" i="16" s="1"/>
  <c r="G27" i="16"/>
  <c r="H27" i="16" s="1"/>
  <c r="J23" i="16"/>
  <c r="K23" i="16" s="1"/>
  <c r="M23" i="16"/>
  <c r="N23" i="16" s="1"/>
  <c r="G23" i="16"/>
  <c r="H23" i="16" s="1"/>
  <c r="J19" i="16"/>
  <c r="K19" i="16" s="1"/>
  <c r="M19" i="16"/>
  <c r="N19" i="16" s="1"/>
  <c r="G19" i="16"/>
  <c r="H19" i="16" s="1"/>
  <c r="M15" i="16"/>
  <c r="N15" i="16" s="1"/>
  <c r="J15" i="16"/>
  <c r="K15" i="16" s="1"/>
  <c r="G15" i="16"/>
  <c r="H15" i="16" s="1"/>
  <c r="M11" i="16"/>
  <c r="N11" i="16" s="1"/>
  <c r="J11" i="16"/>
  <c r="K11" i="16" s="1"/>
  <c r="G11" i="16"/>
  <c r="H11" i="16" s="1"/>
  <c r="J7" i="16"/>
  <c r="K7" i="16" s="1"/>
  <c r="M7" i="16"/>
  <c r="N7" i="16" s="1"/>
  <c r="G7" i="16"/>
  <c r="H7" i="16" s="1"/>
  <c r="J3" i="16"/>
  <c r="K3" i="16" s="1"/>
  <c r="M3" i="16"/>
  <c r="N3" i="16" s="1"/>
  <c r="G3" i="16"/>
  <c r="H3" i="16" s="1"/>
  <c r="E228" i="2"/>
  <c r="B54" i="6" s="1"/>
  <c r="F3" i="2"/>
  <c r="F209" i="2"/>
  <c r="F199" i="2"/>
  <c r="F183" i="2"/>
  <c r="F170" i="2"/>
  <c r="F162" i="2"/>
  <c r="F146" i="2"/>
  <c r="F113" i="2"/>
  <c r="F128" i="2"/>
  <c r="F121" i="2"/>
  <c r="F105" i="2"/>
  <c r="F100" i="2"/>
  <c r="F116" i="2"/>
  <c r="F77" i="2"/>
  <c r="F67" i="2"/>
  <c r="F220" i="2"/>
  <c r="F211" i="2"/>
  <c r="F200" i="2"/>
  <c r="F204" i="2"/>
  <c r="F202" i="2"/>
  <c r="F197" i="2"/>
  <c r="F193" i="2"/>
  <c r="F190" i="2"/>
  <c r="F192" i="2"/>
  <c r="F187" i="2"/>
  <c r="F185" i="2"/>
  <c r="F180" i="2"/>
  <c r="F175" i="2"/>
  <c r="F172" i="2"/>
  <c r="F165" i="2"/>
  <c r="F161" i="2"/>
  <c r="F157" i="2"/>
  <c r="F153" i="2"/>
  <c r="F149" i="2"/>
  <c r="F145" i="2"/>
  <c r="F141" i="2"/>
  <c r="F137" i="2"/>
  <c r="F132" i="2"/>
  <c r="F99" i="2"/>
  <c r="F104" i="2"/>
  <c r="F102" i="2"/>
  <c r="F96" i="2"/>
  <c r="F93" i="2"/>
  <c r="F66" i="2"/>
  <c r="F61" i="2"/>
  <c r="F85" i="2"/>
  <c r="F60" i="2"/>
  <c r="F76" i="2"/>
  <c r="F69" i="2"/>
  <c r="F80" i="2"/>
  <c r="F6" i="2"/>
  <c r="F42" i="2"/>
  <c r="F47" i="2"/>
  <c r="F30" i="2"/>
  <c r="F23" i="2"/>
  <c r="F24" i="2"/>
  <c r="F36" i="2"/>
  <c r="F52" i="2"/>
  <c r="F40" i="2"/>
  <c r="F20" i="2"/>
  <c r="F18" i="2"/>
  <c r="F19" i="2"/>
  <c r="F15" i="2"/>
  <c r="F224" i="2"/>
  <c r="F212" i="2"/>
  <c r="F182" i="2"/>
  <c r="F176" i="2"/>
  <c r="F166" i="2"/>
  <c r="F154" i="2"/>
  <c r="F142" i="2"/>
  <c r="F131" i="2"/>
  <c r="F124" i="2"/>
  <c r="F112" i="2"/>
  <c r="F91" i="2"/>
  <c r="F64" i="2"/>
  <c r="F86" i="2"/>
  <c r="F81" i="2"/>
  <c r="F25" i="2"/>
  <c r="F41" i="2"/>
  <c r="F49" i="2"/>
  <c r="F32" i="2"/>
  <c r="F4" i="2"/>
  <c r="F56" i="2"/>
  <c r="F227" i="2"/>
  <c r="F218" i="2"/>
  <c r="F215" i="2"/>
  <c r="F214" i="2"/>
  <c r="F208" i="2"/>
  <c r="F201" i="2"/>
  <c r="F205" i="2"/>
  <c r="F196" i="2"/>
  <c r="F186" i="2"/>
  <c r="F184" i="2"/>
  <c r="F181" i="2"/>
  <c r="F174" i="2"/>
  <c r="F168" i="2"/>
  <c r="F164" i="2"/>
  <c r="F160" i="2"/>
  <c r="F156" i="2"/>
  <c r="F152" i="2"/>
  <c r="F148" i="2"/>
  <c r="F144" i="2"/>
  <c r="F140" i="2"/>
  <c r="F136" i="2"/>
  <c r="F130" i="2"/>
  <c r="F127" i="2"/>
  <c r="F123" i="2"/>
  <c r="F120" i="2"/>
  <c r="F119" i="2"/>
  <c r="F117" i="2"/>
  <c r="F114" i="2"/>
  <c r="F111" i="2"/>
  <c r="F109" i="2"/>
  <c r="F115" i="2"/>
  <c r="F101" i="2"/>
  <c r="F89" i="2"/>
  <c r="F134" i="2"/>
  <c r="F94" i="2"/>
  <c r="F92" i="2"/>
  <c r="F72" i="2"/>
  <c r="F62" i="2"/>
  <c r="F74" i="2"/>
  <c r="F73" i="2"/>
  <c r="F88" i="2"/>
  <c r="F87" i="2"/>
  <c r="F103" i="2"/>
  <c r="F22" i="2"/>
  <c r="F33" i="2"/>
  <c r="F31" i="2"/>
  <c r="F26" i="2"/>
  <c r="F35" i="2"/>
  <c r="F51" i="2"/>
  <c r="F48" i="2"/>
  <c r="F38" i="2"/>
  <c r="F21" i="2"/>
  <c r="F10" i="2"/>
  <c r="F14" i="2"/>
  <c r="F17" i="2"/>
  <c r="F16" i="2"/>
  <c r="F5" i="2"/>
  <c r="F226" i="2"/>
  <c r="F219" i="2"/>
  <c r="F213" i="2"/>
  <c r="F206" i="2"/>
  <c r="F198" i="2"/>
  <c r="F194" i="2"/>
  <c r="F177" i="2"/>
  <c r="F169" i="2"/>
  <c r="F158" i="2"/>
  <c r="F150" i="2"/>
  <c r="F138" i="2"/>
  <c r="F133" i="2"/>
  <c r="F107" i="2"/>
  <c r="F90" i="2"/>
  <c r="F65" i="2"/>
  <c r="F68" i="2"/>
  <c r="F83" i="2"/>
  <c r="F37" i="2"/>
  <c r="F28" i="2"/>
  <c r="F54" i="2"/>
  <c r="F45" i="2"/>
  <c r="F225" i="2"/>
  <c r="F222" i="2"/>
  <c r="F216" i="2"/>
  <c r="F217" i="2"/>
  <c r="F223" i="2"/>
  <c r="F221" i="2"/>
  <c r="F210" i="2"/>
  <c r="F207" i="2"/>
  <c r="F203" i="2"/>
  <c r="F195" i="2"/>
  <c r="F191" i="2"/>
  <c r="F189" i="2"/>
  <c r="F188" i="2"/>
  <c r="F179" i="2"/>
  <c r="F178" i="2"/>
  <c r="F173" i="2"/>
  <c r="F171" i="2"/>
  <c r="F167" i="2"/>
  <c r="F163" i="2"/>
  <c r="F159" i="2"/>
  <c r="F155" i="2"/>
  <c r="F151" i="2"/>
  <c r="F147" i="2"/>
  <c r="F143" i="2"/>
  <c r="F139" i="2"/>
  <c r="F135" i="2"/>
  <c r="F129" i="2"/>
  <c r="F126" i="2"/>
  <c r="F125" i="2"/>
  <c r="F122" i="2"/>
  <c r="F118" i="2"/>
  <c r="F95" i="2"/>
  <c r="F110" i="2"/>
  <c r="F108" i="2"/>
  <c r="F106" i="2"/>
  <c r="F57" i="2"/>
  <c r="F98" i="2"/>
  <c r="F97" i="2"/>
  <c r="F58" i="2"/>
  <c r="F59" i="2"/>
  <c r="F78" i="2"/>
  <c r="F71" i="2"/>
  <c r="F63" i="2"/>
  <c r="F75" i="2"/>
  <c r="F79" i="2"/>
  <c r="F70" i="2"/>
  <c r="F84" i="2"/>
  <c r="F82" i="2"/>
  <c r="F29" i="2"/>
  <c r="F44" i="2"/>
  <c r="F55" i="2"/>
  <c r="F46" i="2"/>
  <c r="F39" i="2"/>
  <c r="F43" i="2"/>
  <c r="F34" i="2"/>
  <c r="F50" i="2"/>
  <c r="F27" i="2"/>
  <c r="F7" i="2"/>
  <c r="F9" i="2"/>
  <c r="F11" i="2"/>
  <c r="F13" i="2"/>
  <c r="F12" i="2"/>
  <c r="F53" i="2"/>
  <c r="F8" i="2"/>
  <c r="P8" i="2" l="1"/>
  <c r="S8" i="2"/>
  <c r="P12" i="2"/>
  <c r="S12" i="2"/>
  <c r="P11" i="2"/>
  <c r="S11" i="2"/>
  <c r="P7" i="2"/>
  <c r="S7" i="2"/>
  <c r="P50" i="2"/>
  <c r="S50" i="2"/>
  <c r="P43" i="2"/>
  <c r="S43" i="2"/>
  <c r="P46" i="2"/>
  <c r="S46" i="2"/>
  <c r="P44" i="2"/>
  <c r="S44" i="2"/>
  <c r="P82" i="2"/>
  <c r="S82" i="2"/>
  <c r="P70" i="2"/>
  <c r="S70" i="2"/>
  <c r="P75" i="2"/>
  <c r="S75" i="2"/>
  <c r="P71" i="2"/>
  <c r="S71" i="2"/>
  <c r="P59" i="2"/>
  <c r="S59" i="2"/>
  <c r="P97" i="2"/>
  <c r="S97" i="2"/>
  <c r="P57" i="2"/>
  <c r="S57" i="2"/>
  <c r="P108" i="2"/>
  <c r="S108" i="2"/>
  <c r="P95" i="2"/>
  <c r="S95" i="2"/>
  <c r="P122" i="2"/>
  <c r="S122" i="2"/>
  <c r="P126" i="2"/>
  <c r="S126" i="2"/>
  <c r="P135" i="2"/>
  <c r="S135" i="2"/>
  <c r="P143" i="2"/>
  <c r="S143" i="2"/>
  <c r="P151" i="2"/>
  <c r="S151" i="2"/>
  <c r="P159" i="2"/>
  <c r="S159" i="2"/>
  <c r="P167" i="2"/>
  <c r="S167" i="2"/>
  <c r="P173" i="2"/>
  <c r="S173" i="2"/>
  <c r="P179" i="2"/>
  <c r="S179" i="2"/>
  <c r="P189" i="2"/>
  <c r="S189" i="2"/>
  <c r="P195" i="2"/>
  <c r="S195" i="2"/>
  <c r="P207" i="2"/>
  <c r="S207" i="2"/>
  <c r="P221" i="2"/>
  <c r="S221" i="2"/>
  <c r="P217" i="2"/>
  <c r="S217" i="2"/>
  <c r="P222" i="2"/>
  <c r="S222" i="2"/>
  <c r="P45" i="2"/>
  <c r="S45" i="2"/>
  <c r="P28" i="2"/>
  <c r="S28" i="2"/>
  <c r="P83" i="2"/>
  <c r="S83" i="2"/>
  <c r="P65" i="2"/>
  <c r="S65" i="2"/>
  <c r="P107" i="2"/>
  <c r="S107" i="2"/>
  <c r="P138" i="2"/>
  <c r="S138" i="2"/>
  <c r="P158" i="2"/>
  <c r="S158" i="2"/>
  <c r="P177" i="2"/>
  <c r="S177" i="2"/>
  <c r="P198" i="2"/>
  <c r="S198" i="2"/>
  <c r="P213" i="2"/>
  <c r="S213" i="2"/>
  <c r="P226" i="2"/>
  <c r="S226" i="2"/>
  <c r="P16" i="2"/>
  <c r="S16" i="2"/>
  <c r="P14" i="2"/>
  <c r="S14" i="2"/>
  <c r="P21" i="2"/>
  <c r="S21" i="2"/>
  <c r="P48" i="2"/>
  <c r="S48" i="2"/>
  <c r="P35" i="2"/>
  <c r="S35" i="2"/>
  <c r="P31" i="2"/>
  <c r="S31" i="2"/>
  <c r="P22" i="2"/>
  <c r="S22" i="2"/>
  <c r="P87" i="2"/>
  <c r="S87" i="2"/>
  <c r="P73" i="2"/>
  <c r="S73" i="2"/>
  <c r="P62" i="2"/>
  <c r="S62" i="2"/>
  <c r="P92" i="2"/>
  <c r="S92" i="2"/>
  <c r="P134" i="2"/>
  <c r="S134" i="2"/>
  <c r="P101" i="2"/>
  <c r="S101" i="2"/>
  <c r="P109" i="2"/>
  <c r="S109" i="2"/>
  <c r="P114" i="2"/>
  <c r="S114" i="2"/>
  <c r="P119" i="2"/>
  <c r="S119" i="2"/>
  <c r="P123" i="2"/>
  <c r="S123" i="2"/>
  <c r="P130" i="2"/>
  <c r="S130" i="2"/>
  <c r="P140" i="2"/>
  <c r="S140" i="2"/>
  <c r="P148" i="2"/>
  <c r="S148" i="2"/>
  <c r="P156" i="2"/>
  <c r="S156" i="2"/>
  <c r="P164" i="2"/>
  <c r="S164" i="2"/>
  <c r="P174" i="2"/>
  <c r="S174" i="2"/>
  <c r="P184" i="2"/>
  <c r="S184" i="2"/>
  <c r="P196" i="2"/>
  <c r="S196" i="2"/>
  <c r="P201" i="2"/>
  <c r="S201" i="2"/>
  <c r="P214" i="2"/>
  <c r="S214" i="2"/>
  <c r="P218" i="2"/>
  <c r="S218" i="2"/>
  <c r="P56" i="2"/>
  <c r="S56" i="2"/>
  <c r="P32" i="2"/>
  <c r="S32" i="2"/>
  <c r="P41" i="2"/>
  <c r="S41" i="2"/>
  <c r="P81" i="2"/>
  <c r="S81" i="2"/>
  <c r="P64" i="2"/>
  <c r="S64" i="2"/>
  <c r="P112" i="2"/>
  <c r="S112" i="2"/>
  <c r="P131" i="2"/>
  <c r="S131" i="2"/>
  <c r="P154" i="2"/>
  <c r="S154" i="2"/>
  <c r="P176" i="2"/>
  <c r="S176" i="2"/>
  <c r="P212" i="2"/>
  <c r="S212" i="2"/>
  <c r="P15" i="2"/>
  <c r="S15" i="2"/>
  <c r="P18" i="2"/>
  <c r="S18" i="2"/>
  <c r="P40" i="2"/>
  <c r="S40" i="2"/>
  <c r="P36" i="2"/>
  <c r="S36" i="2"/>
  <c r="P23" i="2"/>
  <c r="S23" i="2"/>
  <c r="P47" i="2"/>
  <c r="S47" i="2"/>
  <c r="P6" i="2"/>
  <c r="S6" i="2"/>
  <c r="P69" i="2"/>
  <c r="S69" i="2"/>
  <c r="P60" i="2"/>
  <c r="S60" i="2"/>
  <c r="P61" i="2"/>
  <c r="S61" i="2"/>
  <c r="P93" i="2"/>
  <c r="S93" i="2"/>
  <c r="P102" i="2"/>
  <c r="S102" i="2"/>
  <c r="P99" i="2"/>
  <c r="S99" i="2"/>
  <c r="P137" i="2"/>
  <c r="S137" i="2"/>
  <c r="P145" i="2"/>
  <c r="S145" i="2"/>
  <c r="P153" i="2"/>
  <c r="S153" i="2"/>
  <c r="P161" i="2"/>
  <c r="S161" i="2"/>
  <c r="P172" i="2"/>
  <c r="S172" i="2"/>
  <c r="P180" i="2"/>
  <c r="S180" i="2"/>
  <c r="P187" i="2"/>
  <c r="S187" i="2"/>
  <c r="P190" i="2"/>
  <c r="S190" i="2"/>
  <c r="P197" i="2"/>
  <c r="S197" i="2"/>
  <c r="P204" i="2"/>
  <c r="S204" i="2"/>
  <c r="P211" i="2"/>
  <c r="S211" i="2"/>
  <c r="P67" i="2"/>
  <c r="S67" i="2"/>
  <c r="P116" i="2"/>
  <c r="S116" i="2"/>
  <c r="P105" i="2"/>
  <c r="S105" i="2"/>
  <c r="P128" i="2"/>
  <c r="S128" i="2"/>
  <c r="P146" i="2"/>
  <c r="S146" i="2"/>
  <c r="P170" i="2"/>
  <c r="S170" i="2"/>
  <c r="P199" i="2"/>
  <c r="S199" i="2"/>
  <c r="S3" i="2"/>
  <c r="P3" i="2"/>
  <c r="P163" i="2"/>
  <c r="S163" i="2"/>
  <c r="P171" i="2"/>
  <c r="S171" i="2"/>
  <c r="P178" i="2"/>
  <c r="S178" i="2"/>
  <c r="P188" i="2"/>
  <c r="S188" i="2"/>
  <c r="P191" i="2"/>
  <c r="S191" i="2"/>
  <c r="P203" i="2"/>
  <c r="S203" i="2"/>
  <c r="P210" i="2"/>
  <c r="S210" i="2"/>
  <c r="P223" i="2"/>
  <c r="S223" i="2"/>
  <c r="P216" i="2"/>
  <c r="S216" i="2"/>
  <c r="P225" i="2"/>
  <c r="S225" i="2"/>
  <c r="P54" i="2"/>
  <c r="S54" i="2"/>
  <c r="P37" i="2"/>
  <c r="S37" i="2"/>
  <c r="P68" i="2"/>
  <c r="S68" i="2"/>
  <c r="P90" i="2"/>
  <c r="S90" i="2"/>
  <c r="P133" i="2"/>
  <c r="S133" i="2"/>
  <c r="P150" i="2"/>
  <c r="S150" i="2"/>
  <c r="P169" i="2"/>
  <c r="S169" i="2"/>
  <c r="P194" i="2"/>
  <c r="S194" i="2"/>
  <c r="P206" i="2"/>
  <c r="S206" i="2"/>
  <c r="P219" i="2"/>
  <c r="S219" i="2"/>
  <c r="P5" i="2"/>
  <c r="S5" i="2"/>
  <c r="P17" i="2"/>
  <c r="S17" i="2"/>
  <c r="P10" i="2"/>
  <c r="S10" i="2"/>
  <c r="P38" i="2"/>
  <c r="S38" i="2"/>
  <c r="P51" i="2"/>
  <c r="S51" i="2"/>
  <c r="P26" i="2"/>
  <c r="S26" i="2"/>
  <c r="P33" i="2"/>
  <c r="S33" i="2"/>
  <c r="P103" i="2"/>
  <c r="S103" i="2"/>
  <c r="P88" i="2"/>
  <c r="S88" i="2"/>
  <c r="P74" i="2"/>
  <c r="S74" i="2"/>
  <c r="P72" i="2"/>
  <c r="S72" i="2"/>
  <c r="P94" i="2"/>
  <c r="S94" i="2"/>
  <c r="P89" i="2"/>
  <c r="S89" i="2"/>
  <c r="P115" i="2"/>
  <c r="S115" i="2"/>
  <c r="P111" i="2"/>
  <c r="S111" i="2"/>
  <c r="P117" i="2"/>
  <c r="S117" i="2"/>
  <c r="P120" i="2"/>
  <c r="S120" i="2"/>
  <c r="P127" i="2"/>
  <c r="S127" i="2"/>
  <c r="P136" i="2"/>
  <c r="S136" i="2"/>
  <c r="P144" i="2"/>
  <c r="S144" i="2"/>
  <c r="P152" i="2"/>
  <c r="S152" i="2"/>
  <c r="P160" i="2"/>
  <c r="S160" i="2"/>
  <c r="P168" i="2"/>
  <c r="S168" i="2"/>
  <c r="P181" i="2"/>
  <c r="S181" i="2"/>
  <c r="P186" i="2"/>
  <c r="S186" i="2"/>
  <c r="P205" i="2"/>
  <c r="S205" i="2"/>
  <c r="P208" i="2"/>
  <c r="S208" i="2"/>
  <c r="P215" i="2"/>
  <c r="S215" i="2"/>
  <c r="P227" i="2"/>
  <c r="S227" i="2"/>
  <c r="P4" i="2"/>
  <c r="S4" i="2"/>
  <c r="P49" i="2"/>
  <c r="S49" i="2"/>
  <c r="P25" i="2"/>
  <c r="S25" i="2"/>
  <c r="P86" i="2"/>
  <c r="S86" i="2"/>
  <c r="P91" i="2"/>
  <c r="S91" i="2"/>
  <c r="P124" i="2"/>
  <c r="S124" i="2"/>
  <c r="P142" i="2"/>
  <c r="S142" i="2"/>
  <c r="P166" i="2"/>
  <c r="S166" i="2"/>
  <c r="P182" i="2"/>
  <c r="S182" i="2"/>
  <c r="P224" i="2"/>
  <c r="S224" i="2"/>
  <c r="P19" i="2"/>
  <c r="S19" i="2"/>
  <c r="P20" i="2"/>
  <c r="S20" i="2"/>
  <c r="P52" i="2"/>
  <c r="S52" i="2"/>
  <c r="P24" i="2"/>
  <c r="S24" i="2"/>
  <c r="P30" i="2"/>
  <c r="S30" i="2"/>
  <c r="P42" i="2"/>
  <c r="S42" i="2"/>
  <c r="P80" i="2"/>
  <c r="S80" i="2"/>
  <c r="P76" i="2"/>
  <c r="S76" i="2"/>
  <c r="P85" i="2"/>
  <c r="S85" i="2"/>
  <c r="P66" i="2"/>
  <c r="S66" i="2"/>
  <c r="P96" i="2"/>
  <c r="S96" i="2"/>
  <c r="P104" i="2"/>
  <c r="S104" i="2"/>
  <c r="P132" i="2"/>
  <c r="S132" i="2"/>
  <c r="P141" i="2"/>
  <c r="S141" i="2"/>
  <c r="P149" i="2"/>
  <c r="S149" i="2"/>
  <c r="P157" i="2"/>
  <c r="S157" i="2"/>
  <c r="P165" i="2"/>
  <c r="S165" i="2"/>
  <c r="P175" i="2"/>
  <c r="S175" i="2"/>
  <c r="P185" i="2"/>
  <c r="S185" i="2"/>
  <c r="P192" i="2"/>
  <c r="S192" i="2"/>
  <c r="P193" i="2"/>
  <c r="S193" i="2"/>
  <c r="P202" i="2"/>
  <c r="S202" i="2"/>
  <c r="P200" i="2"/>
  <c r="S200" i="2"/>
  <c r="P220" i="2"/>
  <c r="S220" i="2"/>
  <c r="P77" i="2"/>
  <c r="S77" i="2"/>
  <c r="P100" i="2"/>
  <c r="S100" i="2"/>
  <c r="P121" i="2"/>
  <c r="S121" i="2"/>
  <c r="P113" i="2"/>
  <c r="S113" i="2"/>
  <c r="P162" i="2"/>
  <c r="S162" i="2"/>
  <c r="P183" i="2"/>
  <c r="S183" i="2"/>
  <c r="P209" i="2"/>
  <c r="S209" i="2"/>
  <c r="P53" i="2"/>
  <c r="S53" i="2"/>
  <c r="P13" i="2"/>
  <c r="S13" i="2"/>
  <c r="P9" i="2"/>
  <c r="S9" i="2"/>
  <c r="P27" i="2"/>
  <c r="S27" i="2"/>
  <c r="P34" i="2"/>
  <c r="S34" i="2"/>
  <c r="P39" i="2"/>
  <c r="S39" i="2"/>
  <c r="P55" i="2"/>
  <c r="S55" i="2"/>
  <c r="P29" i="2"/>
  <c r="S29" i="2"/>
  <c r="P84" i="2"/>
  <c r="S84" i="2"/>
  <c r="P79" i="2"/>
  <c r="S79" i="2"/>
  <c r="P63" i="2"/>
  <c r="S63" i="2"/>
  <c r="P78" i="2"/>
  <c r="S78" i="2"/>
  <c r="P58" i="2"/>
  <c r="S58" i="2"/>
  <c r="P98" i="2"/>
  <c r="S98" i="2"/>
  <c r="P106" i="2"/>
  <c r="S106" i="2"/>
  <c r="P110" i="2"/>
  <c r="S110" i="2"/>
  <c r="P118" i="2"/>
  <c r="S118" i="2"/>
  <c r="P125" i="2"/>
  <c r="S125" i="2"/>
  <c r="P129" i="2"/>
  <c r="S129" i="2"/>
  <c r="P139" i="2"/>
  <c r="S139" i="2"/>
  <c r="P147" i="2"/>
  <c r="S147" i="2"/>
  <c r="P155" i="2"/>
  <c r="S155" i="2"/>
  <c r="J8" i="2"/>
  <c r="M8" i="2"/>
  <c r="J12" i="2"/>
  <c r="M12" i="2"/>
  <c r="J11" i="2"/>
  <c r="M11" i="2"/>
  <c r="J43" i="2"/>
  <c r="M43" i="2"/>
  <c r="J82" i="2"/>
  <c r="M82" i="2"/>
  <c r="J75" i="2"/>
  <c r="M75" i="2"/>
  <c r="J59" i="2"/>
  <c r="M59" i="2"/>
  <c r="J97" i="2"/>
  <c r="M97" i="2"/>
  <c r="J95" i="2"/>
  <c r="M95" i="2"/>
  <c r="J122" i="2"/>
  <c r="M122" i="2"/>
  <c r="J151" i="2"/>
  <c r="M151" i="2"/>
  <c r="J159" i="2"/>
  <c r="M159" i="2"/>
  <c r="J173" i="2"/>
  <c r="M173" i="2"/>
  <c r="J189" i="2"/>
  <c r="M189" i="2"/>
  <c r="J207" i="2"/>
  <c r="M207" i="2"/>
  <c r="J222" i="2"/>
  <c r="M222" i="2"/>
  <c r="J65" i="2"/>
  <c r="M65" i="2"/>
  <c r="J158" i="2"/>
  <c r="M158" i="2"/>
  <c r="J177" i="2"/>
  <c r="M177" i="2"/>
  <c r="J226" i="2"/>
  <c r="M226" i="2"/>
  <c r="J14" i="2"/>
  <c r="M14" i="2"/>
  <c r="J21" i="2"/>
  <c r="M21" i="2"/>
  <c r="J31" i="2"/>
  <c r="M31" i="2"/>
  <c r="J92" i="2"/>
  <c r="M92" i="2"/>
  <c r="J109" i="2"/>
  <c r="M109" i="2"/>
  <c r="J114" i="2"/>
  <c r="M114" i="2"/>
  <c r="J140" i="2"/>
  <c r="M140" i="2"/>
  <c r="J164" i="2"/>
  <c r="M164" i="2"/>
  <c r="J184" i="2"/>
  <c r="M184" i="2"/>
  <c r="J41" i="2"/>
  <c r="M41" i="2"/>
  <c r="J176" i="2"/>
  <c r="M176" i="2"/>
  <c r="J212" i="2"/>
  <c r="M212" i="2"/>
  <c r="J15" i="2"/>
  <c r="M15" i="2"/>
  <c r="J23" i="2"/>
  <c r="M23" i="2"/>
  <c r="J47" i="2"/>
  <c r="M47" i="2"/>
  <c r="J102" i="2"/>
  <c r="M102" i="2"/>
  <c r="J99" i="2"/>
  <c r="M99" i="2"/>
  <c r="J137" i="2"/>
  <c r="M137" i="2"/>
  <c r="J172" i="2"/>
  <c r="M172" i="2"/>
  <c r="J128" i="2"/>
  <c r="M128" i="2"/>
  <c r="J170" i="2"/>
  <c r="M170" i="2"/>
  <c r="M3" i="2"/>
  <c r="J3" i="2"/>
  <c r="J7" i="2"/>
  <c r="M7" i="2"/>
  <c r="J50" i="2"/>
  <c r="M50" i="2"/>
  <c r="J46" i="2"/>
  <c r="M46" i="2"/>
  <c r="J44" i="2"/>
  <c r="M44" i="2"/>
  <c r="J70" i="2"/>
  <c r="M70" i="2"/>
  <c r="J71" i="2"/>
  <c r="M71" i="2"/>
  <c r="J57" i="2"/>
  <c r="M57" i="2"/>
  <c r="J108" i="2"/>
  <c r="M108" i="2"/>
  <c r="J126" i="2"/>
  <c r="M126" i="2"/>
  <c r="J135" i="2"/>
  <c r="M135" i="2"/>
  <c r="J143" i="2"/>
  <c r="M143" i="2"/>
  <c r="J167" i="2"/>
  <c r="M167" i="2"/>
  <c r="J179" i="2"/>
  <c r="M179" i="2"/>
  <c r="J45" i="2"/>
  <c r="M45" i="2"/>
  <c r="J28" i="2"/>
  <c r="M28" i="2"/>
  <c r="J83" i="2"/>
  <c r="M83" i="2"/>
  <c r="J107" i="2"/>
  <c r="M107" i="2"/>
  <c r="J213" i="2"/>
  <c r="M213" i="2"/>
  <c r="J35" i="2"/>
  <c r="M35" i="2"/>
  <c r="J73" i="2"/>
  <c r="M73" i="2"/>
  <c r="J101" i="2"/>
  <c r="M101" i="2"/>
  <c r="J123" i="2"/>
  <c r="M123" i="2"/>
  <c r="J148" i="2"/>
  <c r="M148" i="2"/>
  <c r="J214" i="2"/>
  <c r="M214" i="2"/>
  <c r="J56" i="2"/>
  <c r="M56" i="2"/>
  <c r="J81" i="2"/>
  <c r="M81" i="2"/>
  <c r="J154" i="2"/>
  <c r="M154" i="2"/>
  <c r="J18" i="2"/>
  <c r="M18" i="2"/>
  <c r="J36" i="2"/>
  <c r="M36" i="2"/>
  <c r="J6" i="2"/>
  <c r="M6" i="2"/>
  <c r="J60" i="2"/>
  <c r="M60" i="2"/>
  <c r="J93" i="2"/>
  <c r="M93" i="2"/>
  <c r="J145" i="2"/>
  <c r="M145" i="2"/>
  <c r="J197" i="2"/>
  <c r="M197" i="2"/>
  <c r="J211" i="2"/>
  <c r="M211" i="2"/>
  <c r="J146" i="2"/>
  <c r="M146" i="2"/>
  <c r="J199" i="2"/>
  <c r="M199" i="2"/>
  <c r="J53" i="2"/>
  <c r="M53" i="2"/>
  <c r="J13" i="2"/>
  <c r="M13" i="2"/>
  <c r="J9" i="2"/>
  <c r="M9" i="2"/>
  <c r="J27" i="2"/>
  <c r="M27" i="2"/>
  <c r="J34" i="2"/>
  <c r="M34" i="2"/>
  <c r="J39" i="2"/>
  <c r="M39" i="2"/>
  <c r="J55" i="2"/>
  <c r="M55" i="2"/>
  <c r="J29" i="2"/>
  <c r="M29" i="2"/>
  <c r="J84" i="2"/>
  <c r="M84" i="2"/>
  <c r="J79" i="2"/>
  <c r="M79" i="2"/>
  <c r="J63" i="2"/>
  <c r="M63" i="2"/>
  <c r="J78" i="2"/>
  <c r="M78" i="2"/>
  <c r="J58" i="2"/>
  <c r="M58" i="2"/>
  <c r="J98" i="2"/>
  <c r="M98" i="2"/>
  <c r="J106" i="2"/>
  <c r="M106" i="2"/>
  <c r="J110" i="2"/>
  <c r="M110" i="2"/>
  <c r="J118" i="2"/>
  <c r="M118" i="2"/>
  <c r="J125" i="2"/>
  <c r="M125" i="2"/>
  <c r="J129" i="2"/>
  <c r="M129" i="2"/>
  <c r="J139" i="2"/>
  <c r="M139" i="2"/>
  <c r="J147" i="2"/>
  <c r="M147" i="2"/>
  <c r="J155" i="2"/>
  <c r="M155" i="2"/>
  <c r="J163" i="2"/>
  <c r="M163" i="2"/>
  <c r="J171" i="2"/>
  <c r="M171" i="2"/>
  <c r="J178" i="2"/>
  <c r="M178" i="2"/>
  <c r="J188" i="2"/>
  <c r="M188" i="2"/>
  <c r="J191" i="2"/>
  <c r="M191" i="2"/>
  <c r="J203" i="2"/>
  <c r="M203" i="2"/>
  <c r="J210" i="2"/>
  <c r="M210" i="2"/>
  <c r="J223" i="2"/>
  <c r="M223" i="2"/>
  <c r="J216" i="2"/>
  <c r="M216" i="2"/>
  <c r="J225" i="2"/>
  <c r="M225" i="2"/>
  <c r="J54" i="2"/>
  <c r="M54" i="2"/>
  <c r="J37" i="2"/>
  <c r="M37" i="2"/>
  <c r="J68" i="2"/>
  <c r="M68" i="2"/>
  <c r="J90" i="2"/>
  <c r="M90" i="2"/>
  <c r="J133" i="2"/>
  <c r="M133" i="2"/>
  <c r="J150" i="2"/>
  <c r="M150" i="2"/>
  <c r="J169" i="2"/>
  <c r="M169" i="2"/>
  <c r="J194" i="2"/>
  <c r="M194" i="2"/>
  <c r="J206" i="2"/>
  <c r="M206" i="2"/>
  <c r="J219" i="2"/>
  <c r="M219" i="2"/>
  <c r="J5" i="2"/>
  <c r="M5" i="2"/>
  <c r="J17" i="2"/>
  <c r="M17" i="2"/>
  <c r="J10" i="2"/>
  <c r="M10" i="2"/>
  <c r="J38" i="2"/>
  <c r="M38" i="2"/>
  <c r="J51" i="2"/>
  <c r="M51" i="2"/>
  <c r="J26" i="2"/>
  <c r="M26" i="2"/>
  <c r="J33" i="2"/>
  <c r="M33" i="2"/>
  <c r="J103" i="2"/>
  <c r="M103" i="2"/>
  <c r="J88" i="2"/>
  <c r="M88" i="2"/>
  <c r="J74" i="2"/>
  <c r="M74" i="2"/>
  <c r="J72" i="2"/>
  <c r="M72" i="2"/>
  <c r="J94" i="2"/>
  <c r="M94" i="2"/>
  <c r="J89" i="2"/>
  <c r="M89" i="2"/>
  <c r="J115" i="2"/>
  <c r="M115" i="2"/>
  <c r="J111" i="2"/>
  <c r="M111" i="2"/>
  <c r="J117" i="2"/>
  <c r="M117" i="2"/>
  <c r="J120" i="2"/>
  <c r="M120" i="2"/>
  <c r="J127" i="2"/>
  <c r="M127" i="2"/>
  <c r="J136" i="2"/>
  <c r="M136" i="2"/>
  <c r="J144" i="2"/>
  <c r="M144" i="2"/>
  <c r="J152" i="2"/>
  <c r="M152" i="2"/>
  <c r="J160" i="2"/>
  <c r="M160" i="2"/>
  <c r="J168" i="2"/>
  <c r="M168" i="2"/>
  <c r="J181" i="2"/>
  <c r="M181" i="2"/>
  <c r="J186" i="2"/>
  <c r="M186" i="2"/>
  <c r="J205" i="2"/>
  <c r="M205" i="2"/>
  <c r="J208" i="2"/>
  <c r="M208" i="2"/>
  <c r="J215" i="2"/>
  <c r="M215" i="2"/>
  <c r="J227" i="2"/>
  <c r="M227" i="2"/>
  <c r="J4" i="2"/>
  <c r="M4" i="2"/>
  <c r="J49" i="2"/>
  <c r="M49" i="2"/>
  <c r="J25" i="2"/>
  <c r="M25" i="2"/>
  <c r="J86" i="2"/>
  <c r="M86" i="2"/>
  <c r="J91" i="2"/>
  <c r="M91" i="2"/>
  <c r="J124" i="2"/>
  <c r="M124" i="2"/>
  <c r="J142" i="2"/>
  <c r="M142" i="2"/>
  <c r="J166" i="2"/>
  <c r="M166" i="2"/>
  <c r="J182" i="2"/>
  <c r="M182" i="2"/>
  <c r="J224" i="2"/>
  <c r="M224" i="2"/>
  <c r="J19" i="2"/>
  <c r="M19" i="2"/>
  <c r="J20" i="2"/>
  <c r="M20" i="2"/>
  <c r="J52" i="2"/>
  <c r="M52" i="2"/>
  <c r="J24" i="2"/>
  <c r="M24" i="2"/>
  <c r="J30" i="2"/>
  <c r="M30" i="2"/>
  <c r="J42" i="2"/>
  <c r="M42" i="2"/>
  <c r="J80" i="2"/>
  <c r="M80" i="2"/>
  <c r="J76" i="2"/>
  <c r="M76" i="2"/>
  <c r="J85" i="2"/>
  <c r="M85" i="2"/>
  <c r="J66" i="2"/>
  <c r="M66" i="2"/>
  <c r="J96" i="2"/>
  <c r="M96" i="2"/>
  <c r="J104" i="2"/>
  <c r="M104" i="2"/>
  <c r="J132" i="2"/>
  <c r="M132" i="2"/>
  <c r="J141" i="2"/>
  <c r="M141" i="2"/>
  <c r="J149" i="2"/>
  <c r="M149" i="2"/>
  <c r="J157" i="2"/>
  <c r="M157" i="2"/>
  <c r="J165" i="2"/>
  <c r="M165" i="2"/>
  <c r="J175" i="2"/>
  <c r="M175" i="2"/>
  <c r="J185" i="2"/>
  <c r="M185" i="2"/>
  <c r="J192" i="2"/>
  <c r="M192" i="2"/>
  <c r="J193" i="2"/>
  <c r="M193" i="2"/>
  <c r="J202" i="2"/>
  <c r="M202" i="2"/>
  <c r="J200" i="2"/>
  <c r="M200" i="2"/>
  <c r="J220" i="2"/>
  <c r="M220" i="2"/>
  <c r="J77" i="2"/>
  <c r="M77" i="2"/>
  <c r="J100" i="2"/>
  <c r="M100" i="2"/>
  <c r="J121" i="2"/>
  <c r="M121" i="2"/>
  <c r="J113" i="2"/>
  <c r="M113" i="2"/>
  <c r="J162" i="2"/>
  <c r="M162" i="2"/>
  <c r="J183" i="2"/>
  <c r="M183" i="2"/>
  <c r="J209" i="2"/>
  <c r="M209" i="2"/>
  <c r="J195" i="2"/>
  <c r="M195" i="2"/>
  <c r="J221" i="2"/>
  <c r="M221" i="2"/>
  <c r="J217" i="2"/>
  <c r="M217" i="2"/>
  <c r="J138" i="2"/>
  <c r="M138" i="2"/>
  <c r="J198" i="2"/>
  <c r="M198" i="2"/>
  <c r="J16" i="2"/>
  <c r="M16" i="2"/>
  <c r="J48" i="2"/>
  <c r="M48" i="2"/>
  <c r="J22" i="2"/>
  <c r="M22" i="2"/>
  <c r="J87" i="2"/>
  <c r="M87" i="2"/>
  <c r="J62" i="2"/>
  <c r="M62" i="2"/>
  <c r="J134" i="2"/>
  <c r="M134" i="2"/>
  <c r="J119" i="2"/>
  <c r="M119" i="2"/>
  <c r="J130" i="2"/>
  <c r="M130" i="2"/>
  <c r="J156" i="2"/>
  <c r="M156" i="2"/>
  <c r="J174" i="2"/>
  <c r="M174" i="2"/>
  <c r="J196" i="2"/>
  <c r="M196" i="2"/>
  <c r="J201" i="2"/>
  <c r="M201" i="2"/>
  <c r="J218" i="2"/>
  <c r="M218" i="2"/>
  <c r="J32" i="2"/>
  <c r="M32" i="2"/>
  <c r="J64" i="2"/>
  <c r="M64" i="2"/>
  <c r="J112" i="2"/>
  <c r="M112" i="2"/>
  <c r="J131" i="2"/>
  <c r="M131" i="2"/>
  <c r="J40" i="2"/>
  <c r="M40" i="2"/>
  <c r="J69" i="2"/>
  <c r="M69" i="2"/>
  <c r="J61" i="2"/>
  <c r="M61" i="2"/>
  <c r="J153" i="2"/>
  <c r="M153" i="2"/>
  <c r="J161" i="2"/>
  <c r="M161" i="2"/>
  <c r="J180" i="2"/>
  <c r="M180" i="2"/>
  <c r="J187" i="2"/>
  <c r="M187" i="2"/>
  <c r="J190" i="2"/>
  <c r="M190" i="2"/>
  <c r="J204" i="2"/>
  <c r="M204" i="2"/>
  <c r="J67" i="2"/>
  <c r="M67" i="2"/>
  <c r="J116" i="2"/>
  <c r="M116" i="2"/>
  <c r="J105" i="2"/>
  <c r="M105" i="2"/>
  <c r="F228" i="2"/>
  <c r="G228" i="2"/>
  <c r="B55" i="6" s="1"/>
  <c r="M228" i="2" l="1"/>
  <c r="S228" i="2"/>
  <c r="J228" i="2"/>
  <c r="P228" i="2"/>
</calcChain>
</file>

<file path=xl/sharedStrings.xml><?xml version="1.0" encoding="utf-8"?>
<sst xmlns="http://schemas.openxmlformats.org/spreadsheetml/2006/main" count="4575" uniqueCount="1548">
  <si>
    <t>GEO.id</t>
  </si>
  <si>
    <t>GEO.id2</t>
  </si>
  <si>
    <t>GEO.display-label</t>
  </si>
  <si>
    <t>8600000US20601</t>
  </si>
  <si>
    <t>ZCTA5 20601</t>
  </si>
  <si>
    <t>8600000US20602</t>
  </si>
  <si>
    <t>ZCTA5 20602</t>
  </si>
  <si>
    <t>8600000US20603</t>
  </si>
  <si>
    <t>ZCTA5 20603</t>
  </si>
  <si>
    <t>8600000US20606</t>
  </si>
  <si>
    <t>ZCTA5 20606</t>
  </si>
  <si>
    <t>8600000US20607</t>
  </si>
  <si>
    <t>ZCTA5 20607</t>
  </si>
  <si>
    <t>8600000US20608</t>
  </si>
  <si>
    <t>ZCTA5 20608</t>
  </si>
  <si>
    <t>8600000US20609</t>
  </si>
  <si>
    <t>ZCTA5 20609</t>
  </si>
  <si>
    <t>8600000US20611</t>
  </si>
  <si>
    <t>ZCTA5 20611</t>
  </si>
  <si>
    <t>8600000US20612</t>
  </si>
  <si>
    <t>ZCTA5 20612</t>
  </si>
  <si>
    <t>8600000US20613</t>
  </si>
  <si>
    <t>ZCTA5 20613</t>
  </si>
  <si>
    <t>8600000US20615</t>
  </si>
  <si>
    <t>ZCTA5 20615</t>
  </si>
  <si>
    <t>8600000US20616</t>
  </si>
  <si>
    <t>ZCTA5 20616</t>
  </si>
  <si>
    <t>8600000US20617</t>
  </si>
  <si>
    <t>ZCTA5 20617</t>
  </si>
  <si>
    <t>8600000US20618</t>
  </si>
  <si>
    <t>ZCTA5 20618</t>
  </si>
  <si>
    <t>8600000US20619</t>
  </si>
  <si>
    <t>ZCTA5 20619</t>
  </si>
  <si>
    <t>8600000US20620</t>
  </si>
  <si>
    <t>ZCTA5 20620</t>
  </si>
  <si>
    <t>8600000US20621</t>
  </si>
  <si>
    <t>ZCTA5 20621</t>
  </si>
  <si>
    <t>8600000US20622</t>
  </si>
  <si>
    <t>ZCTA5 20622</t>
  </si>
  <si>
    <t>8600000US20623</t>
  </si>
  <si>
    <t>ZCTA5 20623</t>
  </si>
  <si>
    <t>8600000US20624</t>
  </si>
  <si>
    <t>ZCTA5 20624</t>
  </si>
  <si>
    <t>8600000US20625</t>
  </si>
  <si>
    <t>ZCTA5 20625</t>
  </si>
  <si>
    <t>8600000US20626</t>
  </si>
  <si>
    <t>ZCTA5 20626</t>
  </si>
  <si>
    <t>8600000US20628</t>
  </si>
  <si>
    <t>ZCTA5 20628</t>
  </si>
  <si>
    <t>8600000US20629</t>
  </si>
  <si>
    <t>ZCTA5 20629</t>
  </si>
  <si>
    <t>8600000US20630</t>
  </si>
  <si>
    <t>ZCTA5 20630</t>
  </si>
  <si>
    <t>8600000US20632</t>
  </si>
  <si>
    <t>ZCTA5 20632</t>
  </si>
  <si>
    <t>8600000US20634</t>
  </si>
  <si>
    <t>ZCTA5 20634</t>
  </si>
  <si>
    <t>8600000US20636</t>
  </si>
  <si>
    <t>ZCTA5 20636</t>
  </si>
  <si>
    <t>8600000US20637</t>
  </si>
  <si>
    <t>ZCTA5 20637</t>
  </si>
  <si>
    <t>8600000US20639</t>
  </si>
  <si>
    <t>ZCTA5 20639</t>
  </si>
  <si>
    <t>8600000US20640</t>
  </si>
  <si>
    <t>ZCTA5 20640</t>
  </si>
  <si>
    <t>8600000US20645</t>
  </si>
  <si>
    <t>ZCTA5 20645</t>
  </si>
  <si>
    <t>8600000US20646</t>
  </si>
  <si>
    <t>ZCTA5 20646</t>
  </si>
  <si>
    <t>8600000US20650</t>
  </si>
  <si>
    <t>ZCTA5 20650</t>
  </si>
  <si>
    <t>8600000US20653</t>
  </si>
  <si>
    <t>ZCTA5 20653</t>
  </si>
  <si>
    <t>8600000US20657</t>
  </si>
  <si>
    <t>ZCTA5 20657</t>
  </si>
  <si>
    <t>8600000US20658</t>
  </si>
  <si>
    <t>ZCTA5 20658</t>
  </si>
  <si>
    <t>8600000US20659</t>
  </si>
  <si>
    <t>ZCTA5 20659</t>
  </si>
  <si>
    <t>8600000US20660</t>
  </si>
  <si>
    <t>ZCTA5 20660</t>
  </si>
  <si>
    <t>8600000US20662</t>
  </si>
  <si>
    <t>ZCTA5 20662</t>
  </si>
  <si>
    <t>8600000US20664</t>
  </si>
  <si>
    <t>ZCTA5 20664</t>
  </si>
  <si>
    <t>8600000US20667</t>
  </si>
  <si>
    <t>ZCTA5 20667</t>
  </si>
  <si>
    <t>8600000US20670</t>
  </si>
  <si>
    <t>ZCTA5 20670</t>
  </si>
  <si>
    <t>8600000US20674</t>
  </si>
  <si>
    <t>ZCTA5 20674</t>
  </si>
  <si>
    <t>8600000US20675</t>
  </si>
  <si>
    <t>ZCTA5 20675</t>
  </si>
  <si>
    <t>8600000US20676</t>
  </si>
  <si>
    <t>ZCTA5 20676</t>
  </si>
  <si>
    <t>8600000US20677</t>
  </si>
  <si>
    <t>ZCTA5 20677</t>
  </si>
  <si>
    <t>8600000US20678</t>
  </si>
  <si>
    <t>ZCTA5 20678</t>
  </si>
  <si>
    <t>8600000US20680</t>
  </si>
  <si>
    <t>ZCTA5 20680</t>
  </si>
  <si>
    <t>8600000US20684</t>
  </si>
  <si>
    <t>ZCTA5 20684</t>
  </si>
  <si>
    <t>8600000US20685</t>
  </si>
  <si>
    <t>ZCTA5 20685</t>
  </si>
  <si>
    <t>8600000US20686</t>
  </si>
  <si>
    <t>ZCTA5 20686</t>
  </si>
  <si>
    <t>8600000US20687</t>
  </si>
  <si>
    <t>ZCTA5 20687</t>
  </si>
  <si>
    <t>8600000US20688</t>
  </si>
  <si>
    <t>ZCTA5 20688</t>
  </si>
  <si>
    <t>8600000US20689</t>
  </si>
  <si>
    <t>ZCTA5 20689</t>
  </si>
  <si>
    <t>8600000US20690</t>
  </si>
  <si>
    <t>ZCTA5 20690</t>
  </si>
  <si>
    <t>8600000US20692</t>
  </si>
  <si>
    <t>ZCTA5 20692</t>
  </si>
  <si>
    <t>8600000US20693</t>
  </si>
  <si>
    <t>ZCTA5 20693</t>
  </si>
  <si>
    <t>8600000US20695</t>
  </si>
  <si>
    <t>ZCTA5 20695</t>
  </si>
  <si>
    <t>8600000US20701</t>
  </si>
  <si>
    <t>ZCTA5 20701</t>
  </si>
  <si>
    <t>8600000US20705</t>
  </si>
  <si>
    <t>ZCTA5 20705</t>
  </si>
  <si>
    <t>8600000US20706</t>
  </si>
  <si>
    <t>ZCTA5 20706</t>
  </si>
  <si>
    <t>8600000US20707</t>
  </si>
  <si>
    <t>ZCTA5 20707</t>
  </si>
  <si>
    <t>8600000US20708</t>
  </si>
  <si>
    <t>ZCTA5 20708</t>
  </si>
  <si>
    <t>8600000US20710</t>
  </si>
  <si>
    <t>ZCTA5 20710</t>
  </si>
  <si>
    <t>8600000US20711</t>
  </si>
  <si>
    <t>ZCTA5 20711</t>
  </si>
  <si>
    <t>8600000US20712</t>
  </si>
  <si>
    <t>ZCTA5 20712</t>
  </si>
  <si>
    <t>8600000US20714</t>
  </si>
  <si>
    <t>ZCTA5 20714</t>
  </si>
  <si>
    <t>8600000US20715</t>
  </si>
  <si>
    <t>ZCTA5 20715</t>
  </si>
  <si>
    <t>8600000US20716</t>
  </si>
  <si>
    <t>ZCTA5 20716</t>
  </si>
  <si>
    <t>8600000US20720</t>
  </si>
  <si>
    <t>ZCTA5 20720</t>
  </si>
  <si>
    <t>8600000US20721</t>
  </si>
  <si>
    <t>ZCTA5 20721</t>
  </si>
  <si>
    <t>8600000US20722</t>
  </si>
  <si>
    <t>ZCTA5 20722</t>
  </si>
  <si>
    <t>8600000US20723</t>
  </si>
  <si>
    <t>ZCTA5 20723</t>
  </si>
  <si>
    <t>8600000US20724</t>
  </si>
  <si>
    <t>ZCTA5 20724</t>
  </si>
  <si>
    <t>8600000US20732</t>
  </si>
  <si>
    <t>ZCTA5 20732</t>
  </si>
  <si>
    <t>8600000US20733</t>
  </si>
  <si>
    <t>ZCTA5 20733</t>
  </si>
  <si>
    <t>8600000US20735</t>
  </si>
  <si>
    <t>ZCTA5 20735</t>
  </si>
  <si>
    <t>8600000US20736</t>
  </si>
  <si>
    <t>ZCTA5 20736</t>
  </si>
  <si>
    <t>8600000US20737</t>
  </si>
  <si>
    <t>ZCTA5 20737</t>
  </si>
  <si>
    <t>8600000US20740</t>
  </si>
  <si>
    <t>ZCTA5 20740</t>
  </si>
  <si>
    <t>8600000US20742</t>
  </si>
  <si>
    <t>ZCTA5 20742</t>
  </si>
  <si>
    <t>8600000US20743</t>
  </si>
  <si>
    <t>ZCTA5 20743</t>
  </si>
  <si>
    <t>8600000US20744</t>
  </si>
  <si>
    <t>ZCTA5 20744</t>
  </si>
  <si>
    <t>8600000US20745</t>
  </si>
  <si>
    <t>ZCTA5 20745</t>
  </si>
  <si>
    <t>8600000US20746</t>
  </si>
  <si>
    <t>ZCTA5 20746</t>
  </si>
  <si>
    <t>8600000US20747</t>
  </si>
  <si>
    <t>ZCTA5 20747</t>
  </si>
  <si>
    <t>8600000US20748</t>
  </si>
  <si>
    <t>ZCTA5 20748</t>
  </si>
  <si>
    <t>8600000US20751</t>
  </si>
  <si>
    <t>ZCTA5 20751</t>
  </si>
  <si>
    <t>8600000US20754</t>
  </si>
  <si>
    <t>ZCTA5 20754</t>
  </si>
  <si>
    <t>8600000US20755</t>
  </si>
  <si>
    <t>ZCTA5 20755</t>
  </si>
  <si>
    <t>8600000US20758</t>
  </si>
  <si>
    <t>ZCTA5 20758</t>
  </si>
  <si>
    <t>8600000US20759</t>
  </si>
  <si>
    <t>ZCTA5 20759</t>
  </si>
  <si>
    <t>8600000US20762</t>
  </si>
  <si>
    <t>ZCTA5 20762</t>
  </si>
  <si>
    <t>8600000US20763</t>
  </si>
  <si>
    <t>ZCTA5 20763</t>
  </si>
  <si>
    <t>8600000US20764</t>
  </si>
  <si>
    <t>ZCTA5 20764</t>
  </si>
  <si>
    <t>8600000US20765</t>
  </si>
  <si>
    <t>ZCTA5 20765</t>
  </si>
  <si>
    <t>8600000US20769</t>
  </si>
  <si>
    <t>ZCTA5 20769</t>
  </si>
  <si>
    <t>8600000US20770</t>
  </si>
  <si>
    <t>ZCTA5 20770</t>
  </si>
  <si>
    <t>8600000US20772</t>
  </si>
  <si>
    <t>ZCTA5 20772</t>
  </si>
  <si>
    <t>8600000US20774</t>
  </si>
  <si>
    <t>ZCTA5 20774</t>
  </si>
  <si>
    <t>8600000US20776</t>
  </si>
  <si>
    <t>ZCTA5 20776</t>
  </si>
  <si>
    <t>8600000US20777</t>
  </si>
  <si>
    <t>ZCTA5 20777</t>
  </si>
  <si>
    <t>8600000US20778</t>
  </si>
  <si>
    <t>ZCTA5 20778</t>
  </si>
  <si>
    <t>8600000US20779</t>
  </si>
  <si>
    <t>ZCTA5 20779</t>
  </si>
  <si>
    <t>8600000US20781</t>
  </si>
  <si>
    <t>ZCTA5 20781</t>
  </si>
  <si>
    <t>8600000US20782</t>
  </si>
  <si>
    <t>ZCTA5 20782</t>
  </si>
  <si>
    <t>8600000US20783</t>
  </si>
  <si>
    <t>ZCTA5 20783</t>
  </si>
  <si>
    <t>8600000US20784</t>
  </si>
  <si>
    <t>ZCTA5 20784</t>
  </si>
  <si>
    <t>8600000US20785</t>
  </si>
  <si>
    <t>ZCTA5 20785</t>
  </si>
  <si>
    <t>8600000US20794</t>
  </si>
  <si>
    <t>ZCTA5 20794</t>
  </si>
  <si>
    <t>8600000US20812</t>
  </si>
  <si>
    <t>ZCTA5 20812</t>
  </si>
  <si>
    <t>8600000US20814</t>
  </si>
  <si>
    <t>ZCTA5 20814</t>
  </si>
  <si>
    <t>8600000US20815</t>
  </si>
  <si>
    <t>ZCTA5 20815</t>
  </si>
  <si>
    <t>8600000US20816</t>
  </si>
  <si>
    <t>ZCTA5 20816</t>
  </si>
  <si>
    <t>8600000US20817</t>
  </si>
  <si>
    <t>ZCTA5 20817</t>
  </si>
  <si>
    <t>8600000US20818</t>
  </si>
  <si>
    <t>ZCTA5 20818</t>
  </si>
  <si>
    <t>8600000US20832</t>
  </si>
  <si>
    <t>ZCTA5 20832</t>
  </si>
  <si>
    <t>8600000US20833</t>
  </si>
  <si>
    <t>ZCTA5 20833</t>
  </si>
  <si>
    <t>8600000US20837</t>
  </si>
  <si>
    <t>ZCTA5 20837</t>
  </si>
  <si>
    <t>8600000US20838</t>
  </si>
  <si>
    <t>ZCTA5 20838</t>
  </si>
  <si>
    <t>8600000US20839</t>
  </si>
  <si>
    <t>ZCTA5 20839</t>
  </si>
  <si>
    <t>8600000US20841</t>
  </si>
  <si>
    <t>ZCTA5 20841</t>
  </si>
  <si>
    <t>8600000US20842</t>
  </si>
  <si>
    <t>ZCTA5 20842</t>
  </si>
  <si>
    <t>8600000US20850</t>
  </si>
  <si>
    <t>ZCTA5 20850</t>
  </si>
  <si>
    <t>8600000US20851</t>
  </si>
  <si>
    <t>ZCTA5 20851</t>
  </si>
  <si>
    <t>8600000US20852</t>
  </si>
  <si>
    <t>ZCTA5 20852</t>
  </si>
  <si>
    <t>8600000US20853</t>
  </si>
  <si>
    <t>ZCTA5 20853</t>
  </si>
  <si>
    <t>8600000US20854</t>
  </si>
  <si>
    <t>ZCTA5 20854</t>
  </si>
  <si>
    <t>8600000US20855</t>
  </si>
  <si>
    <t>ZCTA5 20855</t>
  </si>
  <si>
    <t>8600000US20860</t>
  </si>
  <si>
    <t>ZCTA5 20860</t>
  </si>
  <si>
    <t>8600000US20861</t>
  </si>
  <si>
    <t>ZCTA5 20861</t>
  </si>
  <si>
    <t>8600000US20862</t>
  </si>
  <si>
    <t>ZCTA5 20862</t>
  </si>
  <si>
    <t>8600000US20866</t>
  </si>
  <si>
    <t>ZCTA5 20866</t>
  </si>
  <si>
    <t>8600000US20868</t>
  </si>
  <si>
    <t>ZCTA5 20868</t>
  </si>
  <si>
    <t>8600000US20871</t>
  </si>
  <si>
    <t>ZCTA5 20871</t>
  </si>
  <si>
    <t>8600000US20872</t>
  </si>
  <si>
    <t>ZCTA5 20872</t>
  </si>
  <si>
    <t>8600000US20874</t>
  </si>
  <si>
    <t>ZCTA5 20874</t>
  </si>
  <si>
    <t>8600000US20876</t>
  </si>
  <si>
    <t>ZCTA5 20876</t>
  </si>
  <si>
    <t>8600000US20877</t>
  </si>
  <si>
    <t>ZCTA5 20877</t>
  </si>
  <si>
    <t>8600000US20878</t>
  </si>
  <si>
    <t>ZCTA5 20878</t>
  </si>
  <si>
    <t>8600000US20879</t>
  </si>
  <si>
    <t>ZCTA5 20879</t>
  </si>
  <si>
    <t>8600000US20880</t>
  </si>
  <si>
    <t>ZCTA5 20880</t>
  </si>
  <si>
    <t>8600000US20882</t>
  </si>
  <si>
    <t>ZCTA5 20882</t>
  </si>
  <si>
    <t>8600000US20886</t>
  </si>
  <si>
    <t>ZCTA5 20886</t>
  </si>
  <si>
    <t>8600000US20895</t>
  </si>
  <si>
    <t>ZCTA5 20895</t>
  </si>
  <si>
    <t>8600000US20896</t>
  </si>
  <si>
    <t>ZCTA5 20896</t>
  </si>
  <si>
    <t>8600000US20899</t>
  </si>
  <si>
    <t>ZCTA5 20899</t>
  </si>
  <si>
    <t>8600000US20901</t>
  </si>
  <si>
    <t>ZCTA5 20901</t>
  </si>
  <si>
    <t>8600000US20902</t>
  </si>
  <si>
    <t>ZCTA5 20902</t>
  </si>
  <si>
    <t>8600000US20903</t>
  </si>
  <si>
    <t>ZCTA5 20903</t>
  </si>
  <si>
    <t>8600000US20904</t>
  </si>
  <si>
    <t>ZCTA5 20904</t>
  </si>
  <si>
    <t>8600000US20905</t>
  </si>
  <si>
    <t>ZCTA5 20905</t>
  </si>
  <si>
    <t>8600000US20906</t>
  </si>
  <si>
    <t>ZCTA5 20906</t>
  </si>
  <si>
    <t>8600000US20910</t>
  </si>
  <si>
    <t>ZCTA5 20910</t>
  </si>
  <si>
    <t>8600000US20912</t>
  </si>
  <si>
    <t>ZCTA5 20912</t>
  </si>
  <si>
    <t>8600000US21001</t>
  </si>
  <si>
    <t>ZCTA5 21001</t>
  </si>
  <si>
    <t>8600000US21005</t>
  </si>
  <si>
    <t>ZCTA5 21005</t>
  </si>
  <si>
    <t>8600000US21009</t>
  </si>
  <si>
    <t>ZCTA5 21009</t>
  </si>
  <si>
    <t>8600000US21010</t>
  </si>
  <si>
    <t>ZCTA5 21010</t>
  </si>
  <si>
    <t>8600000US21012</t>
  </si>
  <si>
    <t>ZCTA5 21012</t>
  </si>
  <si>
    <t>8600000US21013</t>
  </si>
  <si>
    <t>ZCTA5 21013</t>
  </si>
  <si>
    <t>8600000US21014</t>
  </si>
  <si>
    <t>ZCTA5 21014</t>
  </si>
  <si>
    <t>8600000US21015</t>
  </si>
  <si>
    <t>ZCTA5 21015</t>
  </si>
  <si>
    <t>8600000US21017</t>
  </si>
  <si>
    <t>ZCTA5 21017</t>
  </si>
  <si>
    <t>8600000US21028</t>
  </si>
  <si>
    <t>ZCTA5 21028</t>
  </si>
  <si>
    <t>8600000US21029</t>
  </si>
  <si>
    <t>ZCTA5 21029</t>
  </si>
  <si>
    <t>8600000US21030</t>
  </si>
  <si>
    <t>ZCTA5 21030</t>
  </si>
  <si>
    <t>8600000US21031</t>
  </si>
  <si>
    <t>ZCTA5 21031</t>
  </si>
  <si>
    <t>8600000US21032</t>
  </si>
  <si>
    <t>ZCTA5 21032</t>
  </si>
  <si>
    <t>8600000US21034</t>
  </si>
  <si>
    <t>ZCTA5 21034</t>
  </si>
  <si>
    <t>8600000US21035</t>
  </si>
  <si>
    <t>ZCTA5 21035</t>
  </si>
  <si>
    <t>8600000US21036</t>
  </si>
  <si>
    <t>ZCTA5 21036</t>
  </si>
  <si>
    <t>8600000US21037</t>
  </si>
  <si>
    <t>ZCTA5 21037</t>
  </si>
  <si>
    <t>8600000US21040</t>
  </si>
  <si>
    <t>ZCTA5 21040</t>
  </si>
  <si>
    <t>8600000US21042</t>
  </si>
  <si>
    <t>ZCTA5 21042</t>
  </si>
  <si>
    <t>8600000US21043</t>
  </si>
  <si>
    <t>ZCTA5 21043</t>
  </si>
  <si>
    <t>8600000US21044</t>
  </si>
  <si>
    <t>ZCTA5 21044</t>
  </si>
  <si>
    <t>8600000US21045</t>
  </si>
  <si>
    <t>ZCTA5 21045</t>
  </si>
  <si>
    <t>8600000US21046</t>
  </si>
  <si>
    <t>ZCTA5 21046</t>
  </si>
  <si>
    <t>8600000US21047</t>
  </si>
  <si>
    <t>ZCTA5 21047</t>
  </si>
  <si>
    <t>8600000US21048</t>
  </si>
  <si>
    <t>ZCTA5 21048</t>
  </si>
  <si>
    <t>8600000US21050</t>
  </si>
  <si>
    <t>ZCTA5 21050</t>
  </si>
  <si>
    <t>8600000US21051</t>
  </si>
  <si>
    <t>ZCTA5 21051</t>
  </si>
  <si>
    <t>8600000US21052</t>
  </si>
  <si>
    <t>ZCTA5 21052</t>
  </si>
  <si>
    <t>8600000US21053</t>
  </si>
  <si>
    <t>ZCTA5 21053</t>
  </si>
  <si>
    <t>8600000US21054</t>
  </si>
  <si>
    <t>ZCTA5 21054</t>
  </si>
  <si>
    <t>8600000US21056</t>
  </si>
  <si>
    <t>ZCTA5 21056</t>
  </si>
  <si>
    <t>8600000US21057</t>
  </si>
  <si>
    <t>ZCTA5 21057</t>
  </si>
  <si>
    <t>8600000US21060</t>
  </si>
  <si>
    <t>ZCTA5 21060</t>
  </si>
  <si>
    <t>8600000US21061</t>
  </si>
  <si>
    <t>ZCTA5 21061</t>
  </si>
  <si>
    <t>8600000US21071</t>
  </si>
  <si>
    <t>ZCTA5 21071</t>
  </si>
  <si>
    <t>8600000US21074</t>
  </si>
  <si>
    <t>ZCTA5 21074</t>
  </si>
  <si>
    <t>8600000US21075</t>
  </si>
  <si>
    <t>ZCTA5 21075</t>
  </si>
  <si>
    <t>8600000US21076</t>
  </si>
  <si>
    <t>ZCTA5 21076</t>
  </si>
  <si>
    <t>8600000US21077</t>
  </si>
  <si>
    <t>ZCTA5 21077</t>
  </si>
  <si>
    <t>8600000US21078</t>
  </si>
  <si>
    <t>ZCTA5 21078</t>
  </si>
  <si>
    <t>8600000US21082</t>
  </si>
  <si>
    <t>ZCTA5 21082</t>
  </si>
  <si>
    <t>8600000US21084</t>
  </si>
  <si>
    <t>ZCTA5 21084</t>
  </si>
  <si>
    <t>8600000US21085</t>
  </si>
  <si>
    <t>ZCTA5 21085</t>
  </si>
  <si>
    <t>8600000US21087</t>
  </si>
  <si>
    <t>ZCTA5 21087</t>
  </si>
  <si>
    <t>8600000US21090</t>
  </si>
  <si>
    <t>ZCTA5 21090</t>
  </si>
  <si>
    <t>8600000US21093</t>
  </si>
  <si>
    <t>ZCTA5 21093</t>
  </si>
  <si>
    <t>8600000US21102</t>
  </si>
  <si>
    <t>ZCTA5 21102</t>
  </si>
  <si>
    <t>8600000US21104</t>
  </si>
  <si>
    <t>ZCTA5 21104</t>
  </si>
  <si>
    <t>8600000US21105</t>
  </si>
  <si>
    <t>ZCTA5 21105</t>
  </si>
  <si>
    <t>8600000US21108</t>
  </si>
  <si>
    <t>ZCTA5 21108</t>
  </si>
  <si>
    <t>8600000US21111</t>
  </si>
  <si>
    <t>ZCTA5 21111</t>
  </si>
  <si>
    <t>8600000US21113</t>
  </si>
  <si>
    <t>ZCTA5 21113</t>
  </si>
  <si>
    <t>8600000US21114</t>
  </si>
  <si>
    <t>ZCTA5 21114</t>
  </si>
  <si>
    <t>8600000US21117</t>
  </si>
  <si>
    <t>ZCTA5 21117</t>
  </si>
  <si>
    <t>8600000US21120</t>
  </si>
  <si>
    <t>ZCTA5 21120</t>
  </si>
  <si>
    <t>8600000US21122</t>
  </si>
  <si>
    <t>ZCTA5 21122</t>
  </si>
  <si>
    <t>8600000US21128</t>
  </si>
  <si>
    <t>ZCTA5 21128</t>
  </si>
  <si>
    <t>8600000US21130</t>
  </si>
  <si>
    <t>ZCTA5 21130</t>
  </si>
  <si>
    <t>8600000US21131</t>
  </si>
  <si>
    <t>ZCTA5 21131</t>
  </si>
  <si>
    <t>8600000US21132</t>
  </si>
  <si>
    <t>ZCTA5 21132</t>
  </si>
  <si>
    <t>8600000US21133</t>
  </si>
  <si>
    <t>ZCTA5 21133</t>
  </si>
  <si>
    <t>8600000US21136</t>
  </si>
  <si>
    <t>ZCTA5 21136</t>
  </si>
  <si>
    <t>8600000US21140</t>
  </si>
  <si>
    <t>ZCTA5 21140</t>
  </si>
  <si>
    <t>8600000US21144</t>
  </si>
  <si>
    <t>ZCTA5 21144</t>
  </si>
  <si>
    <t>8600000US21146</t>
  </si>
  <si>
    <t>ZCTA5 21146</t>
  </si>
  <si>
    <t>8600000US21152</t>
  </si>
  <si>
    <t>ZCTA5 21152</t>
  </si>
  <si>
    <t>8600000US21153</t>
  </si>
  <si>
    <t>ZCTA5 21153</t>
  </si>
  <si>
    <t>8600000US21154</t>
  </si>
  <si>
    <t>ZCTA5 21154</t>
  </si>
  <si>
    <t>8600000US21155</t>
  </si>
  <si>
    <t>ZCTA5 21155</t>
  </si>
  <si>
    <t>8600000US21156</t>
  </si>
  <si>
    <t>ZCTA5 21156</t>
  </si>
  <si>
    <t>8600000US21157</t>
  </si>
  <si>
    <t>ZCTA5 21157</t>
  </si>
  <si>
    <t>8600000US21158</t>
  </si>
  <si>
    <t>ZCTA5 21158</t>
  </si>
  <si>
    <t>8600000US21160</t>
  </si>
  <si>
    <t>ZCTA5 21160</t>
  </si>
  <si>
    <t>8600000US21161</t>
  </si>
  <si>
    <t>ZCTA5 21161</t>
  </si>
  <si>
    <t>8600000US21162</t>
  </si>
  <si>
    <t>ZCTA5 21162</t>
  </si>
  <si>
    <t>8600000US21163</t>
  </si>
  <si>
    <t>ZCTA5 21163</t>
  </si>
  <si>
    <t>8600000US21201</t>
  </si>
  <si>
    <t>ZCTA5 21201</t>
  </si>
  <si>
    <t>8600000US21202</t>
  </si>
  <si>
    <t>ZCTA5 21202</t>
  </si>
  <si>
    <t>8600000US21204</t>
  </si>
  <si>
    <t>ZCTA5 21204</t>
  </si>
  <si>
    <t>8600000US21205</t>
  </si>
  <si>
    <t>ZCTA5 21205</t>
  </si>
  <si>
    <t>8600000US21206</t>
  </si>
  <si>
    <t>ZCTA5 21206</t>
  </si>
  <si>
    <t>8600000US21207</t>
  </si>
  <si>
    <t>ZCTA5 21207</t>
  </si>
  <si>
    <t>8600000US21208</t>
  </si>
  <si>
    <t>ZCTA5 21208</t>
  </si>
  <si>
    <t>8600000US21209</t>
  </si>
  <si>
    <t>ZCTA5 21209</t>
  </si>
  <si>
    <t>8600000US21210</t>
  </si>
  <si>
    <t>ZCTA5 21210</t>
  </si>
  <si>
    <t>8600000US21211</t>
  </si>
  <si>
    <t>ZCTA5 21211</t>
  </si>
  <si>
    <t>8600000US21212</t>
  </si>
  <si>
    <t>ZCTA5 21212</t>
  </si>
  <si>
    <t>8600000US21213</t>
  </si>
  <si>
    <t>ZCTA5 21213</t>
  </si>
  <si>
    <t>8600000US21214</t>
  </si>
  <si>
    <t>ZCTA5 21214</t>
  </si>
  <si>
    <t>8600000US21215</t>
  </si>
  <si>
    <t>ZCTA5 21215</t>
  </si>
  <si>
    <t>8600000US21216</t>
  </si>
  <si>
    <t>ZCTA5 21216</t>
  </si>
  <si>
    <t>8600000US21217</t>
  </si>
  <si>
    <t>ZCTA5 21217</t>
  </si>
  <si>
    <t>8600000US21218</t>
  </si>
  <si>
    <t>ZCTA5 21218</t>
  </si>
  <si>
    <t>8600000US21219</t>
  </si>
  <si>
    <t>ZCTA5 21219</t>
  </si>
  <si>
    <t>8600000US21220</t>
  </si>
  <si>
    <t>ZCTA5 21220</t>
  </si>
  <si>
    <t>8600000US21221</t>
  </si>
  <si>
    <t>ZCTA5 21221</t>
  </si>
  <si>
    <t>8600000US21222</t>
  </si>
  <si>
    <t>ZCTA5 21222</t>
  </si>
  <si>
    <t>8600000US21223</t>
  </si>
  <si>
    <t>ZCTA5 21223</t>
  </si>
  <si>
    <t>8600000US21224</t>
  </si>
  <si>
    <t>ZCTA5 21224</t>
  </si>
  <si>
    <t>8600000US21225</t>
  </si>
  <si>
    <t>ZCTA5 21225</t>
  </si>
  <si>
    <t>8600000US21226</t>
  </si>
  <si>
    <t>ZCTA5 21226</t>
  </si>
  <si>
    <t>8600000US21227</t>
  </si>
  <si>
    <t>ZCTA5 21227</t>
  </si>
  <si>
    <t>8600000US21228</t>
  </si>
  <si>
    <t>ZCTA5 21228</t>
  </si>
  <si>
    <t>8600000US21229</t>
  </si>
  <si>
    <t>ZCTA5 21229</t>
  </si>
  <si>
    <t>8600000US21230</t>
  </si>
  <si>
    <t>ZCTA5 21230</t>
  </si>
  <si>
    <t>8600000US21231</t>
  </si>
  <si>
    <t>ZCTA5 21231</t>
  </si>
  <si>
    <t>8600000US21234</t>
  </si>
  <si>
    <t>ZCTA5 21234</t>
  </si>
  <si>
    <t>8600000US21236</t>
  </si>
  <si>
    <t>ZCTA5 21236</t>
  </si>
  <si>
    <t>8600000US21237</t>
  </si>
  <si>
    <t>ZCTA5 21237</t>
  </si>
  <si>
    <t>8600000US21239</t>
  </si>
  <si>
    <t>ZCTA5 21239</t>
  </si>
  <si>
    <t>8600000US21240</t>
  </si>
  <si>
    <t>ZCTA5 21240</t>
  </si>
  <si>
    <t>8600000US21244</t>
  </si>
  <si>
    <t>ZCTA5 21244</t>
  </si>
  <si>
    <t>8600000US21250</t>
  </si>
  <si>
    <t>ZCTA5 21250</t>
  </si>
  <si>
    <t>8600000US21251</t>
  </si>
  <si>
    <t>ZCTA5 21251</t>
  </si>
  <si>
    <t>8600000US21252</t>
  </si>
  <si>
    <t>ZCTA5 21252</t>
  </si>
  <si>
    <t>8600000US21286</t>
  </si>
  <si>
    <t>ZCTA5 21286</t>
  </si>
  <si>
    <t>8600000US21401</t>
  </si>
  <si>
    <t>ZCTA5 21401</t>
  </si>
  <si>
    <t>8600000US21402</t>
  </si>
  <si>
    <t>ZCTA5 21402</t>
  </si>
  <si>
    <t>8600000US21403</t>
  </si>
  <si>
    <t>ZCTA5 21403</t>
  </si>
  <si>
    <t>8600000US21405</t>
  </si>
  <si>
    <t>ZCTA5 21405</t>
  </si>
  <si>
    <t>8600000US21409</t>
  </si>
  <si>
    <t>ZCTA5 21409</t>
  </si>
  <si>
    <t>8600000US21502</t>
  </si>
  <si>
    <t>ZCTA5 21502</t>
  </si>
  <si>
    <t>8600000US21520</t>
  </si>
  <si>
    <t>ZCTA5 21520</t>
  </si>
  <si>
    <t>8600000US21521</t>
  </si>
  <si>
    <t>ZCTA5 21521</t>
  </si>
  <si>
    <t>8600000US21522</t>
  </si>
  <si>
    <t>ZCTA5 21522</t>
  </si>
  <si>
    <t>8600000US21523</t>
  </si>
  <si>
    <t>ZCTA5 21523</t>
  </si>
  <si>
    <t>8600000US21524</t>
  </si>
  <si>
    <t>ZCTA5 21524</t>
  </si>
  <si>
    <t>8600000US21529</t>
  </si>
  <si>
    <t>ZCTA5 21529</t>
  </si>
  <si>
    <t>8600000US21530</t>
  </si>
  <si>
    <t>ZCTA5 21530</t>
  </si>
  <si>
    <t>8600000US21531</t>
  </si>
  <si>
    <t>ZCTA5 21531</t>
  </si>
  <si>
    <t>8600000US21532</t>
  </si>
  <si>
    <t>ZCTA5 21532</t>
  </si>
  <si>
    <t>8600000US21536</t>
  </si>
  <si>
    <t>ZCTA5 21536</t>
  </si>
  <si>
    <t>8600000US21538</t>
  </si>
  <si>
    <t>ZCTA5 21538</t>
  </si>
  <si>
    <t>8600000US21539</t>
  </si>
  <si>
    <t>ZCTA5 21539</t>
  </si>
  <si>
    <t>8600000US21540</t>
  </si>
  <si>
    <t>ZCTA5 21540</t>
  </si>
  <si>
    <t>8600000US21541</t>
  </si>
  <si>
    <t>ZCTA5 21541</t>
  </si>
  <si>
    <t>8600000US21542</t>
  </si>
  <si>
    <t>ZCTA5 21542</t>
  </si>
  <si>
    <t>8600000US21543</t>
  </si>
  <si>
    <t>ZCTA5 21543</t>
  </si>
  <si>
    <t>8600000US21545</t>
  </si>
  <si>
    <t>ZCTA5 21545</t>
  </si>
  <si>
    <t>8600000US21550</t>
  </si>
  <si>
    <t>ZCTA5 21550</t>
  </si>
  <si>
    <t>8600000US21555</t>
  </si>
  <si>
    <t>ZCTA5 21555</t>
  </si>
  <si>
    <t>8600000US21557</t>
  </si>
  <si>
    <t>ZCTA5 21557</t>
  </si>
  <si>
    <t>8600000US21561</t>
  </si>
  <si>
    <t>ZCTA5 21561</t>
  </si>
  <si>
    <t>8600000US21562</t>
  </si>
  <si>
    <t>ZCTA5 21562</t>
  </si>
  <si>
    <t>8600000US21601</t>
  </si>
  <si>
    <t>ZCTA5 21601</t>
  </si>
  <si>
    <t>8600000US21607</t>
  </si>
  <si>
    <t>ZCTA5 21607</t>
  </si>
  <si>
    <t>8600000US21610</t>
  </si>
  <si>
    <t>ZCTA5 21610</t>
  </si>
  <si>
    <t>8600000US21612</t>
  </si>
  <si>
    <t>ZCTA5 21612</t>
  </si>
  <si>
    <t>8600000US21613</t>
  </si>
  <si>
    <t>ZCTA5 21613</t>
  </si>
  <si>
    <t>8600000US21617</t>
  </si>
  <si>
    <t>ZCTA5 21617</t>
  </si>
  <si>
    <t>8600000US21619</t>
  </si>
  <si>
    <t>ZCTA5 21619</t>
  </si>
  <si>
    <t>8600000US21620</t>
  </si>
  <si>
    <t>ZCTA5 21620</t>
  </si>
  <si>
    <t>8600000US21622</t>
  </si>
  <si>
    <t>ZCTA5 21622</t>
  </si>
  <si>
    <t>8600000US21623</t>
  </si>
  <si>
    <t>ZCTA5 21623</t>
  </si>
  <si>
    <t>8600000US21624</t>
  </si>
  <si>
    <t>ZCTA5 21624</t>
  </si>
  <si>
    <t>8600000US21625</t>
  </si>
  <si>
    <t>ZCTA5 21625</t>
  </si>
  <si>
    <t>8600000US21626</t>
  </si>
  <si>
    <t>ZCTA5 21626</t>
  </si>
  <si>
    <t>8600000US21627</t>
  </si>
  <si>
    <t>ZCTA5 21627</t>
  </si>
  <si>
    <t>8600000US21628</t>
  </si>
  <si>
    <t>ZCTA5 21628</t>
  </si>
  <si>
    <t>8600000US21629</t>
  </si>
  <si>
    <t>ZCTA5 21629</t>
  </si>
  <si>
    <t>8600000US21631</t>
  </si>
  <si>
    <t>ZCTA5 21631</t>
  </si>
  <si>
    <t>8600000US21632</t>
  </si>
  <si>
    <t>ZCTA5 21632</t>
  </si>
  <si>
    <t>8600000US21634</t>
  </si>
  <si>
    <t>ZCTA5 21634</t>
  </si>
  <si>
    <t>8600000US21635</t>
  </si>
  <si>
    <t>ZCTA5 21635</t>
  </si>
  <si>
    <t>8600000US21636</t>
  </si>
  <si>
    <t>ZCTA5 21636</t>
  </si>
  <si>
    <t>8600000US21638</t>
  </si>
  <si>
    <t>ZCTA5 21638</t>
  </si>
  <si>
    <t>8600000US21639</t>
  </si>
  <si>
    <t>ZCTA5 21639</t>
  </si>
  <si>
    <t>8600000US21640</t>
  </si>
  <si>
    <t>ZCTA5 21640</t>
  </si>
  <si>
    <t>8600000US21641</t>
  </si>
  <si>
    <t>ZCTA5 21641</t>
  </si>
  <si>
    <t>8600000US21643</t>
  </si>
  <si>
    <t>ZCTA5 21643</t>
  </si>
  <si>
    <t>8600000US21644</t>
  </si>
  <si>
    <t>ZCTA5 21644</t>
  </si>
  <si>
    <t>8600000US21645</t>
  </si>
  <si>
    <t>ZCTA5 21645</t>
  </si>
  <si>
    <t>8600000US21647</t>
  </si>
  <si>
    <t>ZCTA5 21647</t>
  </si>
  <si>
    <t>8600000US21648</t>
  </si>
  <si>
    <t>ZCTA5 21648</t>
  </si>
  <si>
    <t>8600000US21649</t>
  </si>
  <si>
    <t>ZCTA5 21649</t>
  </si>
  <si>
    <t>8600000US21650</t>
  </si>
  <si>
    <t>ZCTA5 21650</t>
  </si>
  <si>
    <t>8600000US21651</t>
  </si>
  <si>
    <t>ZCTA5 21651</t>
  </si>
  <si>
    <t>8600000US21652</t>
  </si>
  <si>
    <t>ZCTA5 21652</t>
  </si>
  <si>
    <t>8600000US21653</t>
  </si>
  <si>
    <t>ZCTA5 21653</t>
  </si>
  <si>
    <t>8600000US21654</t>
  </si>
  <si>
    <t>ZCTA5 21654</t>
  </si>
  <si>
    <t>8600000US21655</t>
  </si>
  <si>
    <t>ZCTA5 21655</t>
  </si>
  <si>
    <t>8600000US21657</t>
  </si>
  <si>
    <t>ZCTA5 21657</t>
  </si>
  <si>
    <t>8600000US21658</t>
  </si>
  <si>
    <t>ZCTA5 21658</t>
  </si>
  <si>
    <t>8600000US21659</t>
  </si>
  <si>
    <t>ZCTA5 21659</t>
  </si>
  <si>
    <t>8600000US21660</t>
  </si>
  <si>
    <t>ZCTA5 21660</t>
  </si>
  <si>
    <t>8600000US21661</t>
  </si>
  <si>
    <t>ZCTA5 21661</t>
  </si>
  <si>
    <t>8600000US21662</t>
  </si>
  <si>
    <t>ZCTA5 21662</t>
  </si>
  <si>
    <t>8600000US21663</t>
  </si>
  <si>
    <t>ZCTA5 21663</t>
  </si>
  <si>
    <t>8600000US21664</t>
  </si>
  <si>
    <t>ZCTA5 21664</t>
  </si>
  <si>
    <t>8600000US21665</t>
  </si>
  <si>
    <t>ZCTA5 21665</t>
  </si>
  <si>
    <t>8600000US21666</t>
  </si>
  <si>
    <t>ZCTA5 21666</t>
  </si>
  <si>
    <t>8600000US21667</t>
  </si>
  <si>
    <t>ZCTA5 21667</t>
  </si>
  <si>
    <t>8600000US21668</t>
  </si>
  <si>
    <t>ZCTA5 21668</t>
  </si>
  <si>
    <t>8600000US21669</t>
  </si>
  <si>
    <t>ZCTA5 21669</t>
  </si>
  <si>
    <t>8600000US21671</t>
  </si>
  <si>
    <t>ZCTA5 21671</t>
  </si>
  <si>
    <t>8600000US21672</t>
  </si>
  <si>
    <t>ZCTA5 21672</t>
  </si>
  <si>
    <t>8600000US21673</t>
  </si>
  <si>
    <t>ZCTA5 21673</t>
  </si>
  <si>
    <t>8600000US21675</t>
  </si>
  <si>
    <t>ZCTA5 21675</t>
  </si>
  <si>
    <t>8600000US21676</t>
  </si>
  <si>
    <t>ZCTA5 21676</t>
  </si>
  <si>
    <t>8600000US21677</t>
  </si>
  <si>
    <t>ZCTA5 21677</t>
  </si>
  <si>
    <t>8600000US21678</t>
  </si>
  <si>
    <t>ZCTA5 21678</t>
  </si>
  <si>
    <t>8600000US21679</t>
  </si>
  <si>
    <t>ZCTA5 21679</t>
  </si>
  <si>
    <t>8600000US21701</t>
  </si>
  <si>
    <t>ZCTA5 21701</t>
  </si>
  <si>
    <t>8600000US21702</t>
  </si>
  <si>
    <t>ZCTA5 21702</t>
  </si>
  <si>
    <t>8600000US21703</t>
  </si>
  <si>
    <t>ZCTA5 21703</t>
  </si>
  <si>
    <t>8600000US21704</t>
  </si>
  <si>
    <t>ZCTA5 21704</t>
  </si>
  <si>
    <t>8600000US21705</t>
  </si>
  <si>
    <t>ZCTA5 21705</t>
  </si>
  <si>
    <t>8600000US21710</t>
  </si>
  <si>
    <t>ZCTA5 21710</t>
  </si>
  <si>
    <t>8600000US21711</t>
  </si>
  <si>
    <t>ZCTA5 21711</t>
  </si>
  <si>
    <t>8600000US21713</t>
  </si>
  <si>
    <t>ZCTA5 21713</t>
  </si>
  <si>
    <t>8600000US21714</t>
  </si>
  <si>
    <t>ZCTA5 21714</t>
  </si>
  <si>
    <t>8600000US21716</t>
  </si>
  <si>
    <t>ZCTA5 21716</t>
  </si>
  <si>
    <t>8600000US21717</t>
  </si>
  <si>
    <t>ZCTA5 21717</t>
  </si>
  <si>
    <t>8600000US21718</t>
  </si>
  <si>
    <t>ZCTA5 21718</t>
  </si>
  <si>
    <t>8600000US21719</t>
  </si>
  <si>
    <t>ZCTA5 21719</t>
  </si>
  <si>
    <t>8600000US21722</t>
  </si>
  <si>
    <t>ZCTA5 21722</t>
  </si>
  <si>
    <t>8600000US21723</t>
  </si>
  <si>
    <t>ZCTA5 21723</t>
  </si>
  <si>
    <t>8600000US21727</t>
  </si>
  <si>
    <t>ZCTA5 21727</t>
  </si>
  <si>
    <t>8600000US21733</t>
  </si>
  <si>
    <t>ZCTA5 21733</t>
  </si>
  <si>
    <t>8600000US21734</t>
  </si>
  <si>
    <t>ZCTA5 21734</t>
  </si>
  <si>
    <t>8600000US21737</t>
  </si>
  <si>
    <t>ZCTA5 21737</t>
  </si>
  <si>
    <t>8600000US21738</t>
  </si>
  <si>
    <t>ZCTA5 21738</t>
  </si>
  <si>
    <t>8600000US21740</t>
  </si>
  <si>
    <t>ZCTA5 21740</t>
  </si>
  <si>
    <t>8600000US21742</t>
  </si>
  <si>
    <t>ZCTA5 21742</t>
  </si>
  <si>
    <t>8600000US21746</t>
  </si>
  <si>
    <t>ZCTA5 21746</t>
  </si>
  <si>
    <t>8600000US21750</t>
  </si>
  <si>
    <t>ZCTA5 21750</t>
  </si>
  <si>
    <t>8600000US21754</t>
  </si>
  <si>
    <t>ZCTA5 21754</t>
  </si>
  <si>
    <t>8600000US21755</t>
  </si>
  <si>
    <t>ZCTA5 21755</t>
  </si>
  <si>
    <t>8600000US21756</t>
  </si>
  <si>
    <t>ZCTA5 21756</t>
  </si>
  <si>
    <t>8600000US21757</t>
  </si>
  <si>
    <t>ZCTA5 21757</t>
  </si>
  <si>
    <t>8600000US21758</t>
  </si>
  <si>
    <t>ZCTA5 21758</t>
  </si>
  <si>
    <t>8600000US21762</t>
  </si>
  <si>
    <t>ZCTA5 21762</t>
  </si>
  <si>
    <t>8600000US21766</t>
  </si>
  <si>
    <t>ZCTA5 21766</t>
  </si>
  <si>
    <t>8600000US21767</t>
  </si>
  <si>
    <t>ZCTA5 21767</t>
  </si>
  <si>
    <t>8600000US21769</t>
  </si>
  <si>
    <t>ZCTA5 21769</t>
  </si>
  <si>
    <t>8600000US21770</t>
  </si>
  <si>
    <t>ZCTA5 21770</t>
  </si>
  <si>
    <t>8600000US21771</t>
  </si>
  <si>
    <t>ZCTA5 21771</t>
  </si>
  <si>
    <t>8600000US21773</t>
  </si>
  <si>
    <t>ZCTA5 21773</t>
  </si>
  <si>
    <t>8600000US21774</t>
  </si>
  <si>
    <t>ZCTA5 21774</t>
  </si>
  <si>
    <t>8600000US21776</t>
  </si>
  <si>
    <t>ZCTA5 21776</t>
  </si>
  <si>
    <t>8600000US21777</t>
  </si>
  <si>
    <t>ZCTA5 21777</t>
  </si>
  <si>
    <t>8600000US21778</t>
  </si>
  <si>
    <t>ZCTA5 21778</t>
  </si>
  <si>
    <t>8600000US21779</t>
  </si>
  <si>
    <t>ZCTA5 21779</t>
  </si>
  <si>
    <t>8600000US21780</t>
  </si>
  <si>
    <t>ZCTA5 21780</t>
  </si>
  <si>
    <t>8600000US21781</t>
  </si>
  <si>
    <t>ZCTA5 21781</t>
  </si>
  <si>
    <t>8600000US21782</t>
  </si>
  <si>
    <t>ZCTA5 21782</t>
  </si>
  <si>
    <t>8600000US21783</t>
  </si>
  <si>
    <t>ZCTA5 21783</t>
  </si>
  <si>
    <t>8600000US21784</t>
  </si>
  <si>
    <t>ZCTA5 21784</t>
  </si>
  <si>
    <t>8600000US21787</t>
  </si>
  <si>
    <t>ZCTA5 21787</t>
  </si>
  <si>
    <t>8600000US21788</t>
  </si>
  <si>
    <t>ZCTA5 21788</t>
  </si>
  <si>
    <t>8600000US21790</t>
  </si>
  <si>
    <t>ZCTA5 21790</t>
  </si>
  <si>
    <t>8600000US21791</t>
  </si>
  <si>
    <t>ZCTA5 21791</t>
  </si>
  <si>
    <t>8600000US21793</t>
  </si>
  <si>
    <t>ZCTA5 21793</t>
  </si>
  <si>
    <t>8600000US21794</t>
  </si>
  <si>
    <t>ZCTA5 21794</t>
  </si>
  <si>
    <t>8600000US21795</t>
  </si>
  <si>
    <t>ZCTA5 21795</t>
  </si>
  <si>
    <t>8600000US21797</t>
  </si>
  <si>
    <t>ZCTA5 21797</t>
  </si>
  <si>
    <t>8600000US21798</t>
  </si>
  <si>
    <t>ZCTA5 21798</t>
  </si>
  <si>
    <t>8600000US21801</t>
  </si>
  <si>
    <t>ZCTA5 21801</t>
  </si>
  <si>
    <t>8600000US21802</t>
  </si>
  <si>
    <t>ZCTA5 21802</t>
  </si>
  <si>
    <t>8600000US21804</t>
  </si>
  <si>
    <t>ZCTA5 21804</t>
  </si>
  <si>
    <t>8600000US21810</t>
  </si>
  <si>
    <t>ZCTA5 21810</t>
  </si>
  <si>
    <t>8600000US21811</t>
  </si>
  <si>
    <t>ZCTA5 21811</t>
  </si>
  <si>
    <t>8600000US21813</t>
  </si>
  <si>
    <t>ZCTA5 21813</t>
  </si>
  <si>
    <t>8600000US21814</t>
  </si>
  <si>
    <t>ZCTA5 21814</t>
  </si>
  <si>
    <t>8600000US21817</t>
  </si>
  <si>
    <t>ZCTA5 21817</t>
  </si>
  <si>
    <t>8600000US21821</t>
  </si>
  <si>
    <t>ZCTA5 21821</t>
  </si>
  <si>
    <t>8600000US21822</t>
  </si>
  <si>
    <t>ZCTA5 21822</t>
  </si>
  <si>
    <t>8600000US21824</t>
  </si>
  <si>
    <t>ZCTA5 21824</t>
  </si>
  <si>
    <t>8600000US21826</t>
  </si>
  <si>
    <t>ZCTA5 21826</t>
  </si>
  <si>
    <t>8600000US21829</t>
  </si>
  <si>
    <t>ZCTA5 21829</t>
  </si>
  <si>
    <t>8600000US21830</t>
  </si>
  <si>
    <t>ZCTA5 21830</t>
  </si>
  <si>
    <t>8600000US21835</t>
  </si>
  <si>
    <t>ZCTA5 21835</t>
  </si>
  <si>
    <t>8600000US21837</t>
  </si>
  <si>
    <t>ZCTA5 21837</t>
  </si>
  <si>
    <t>8600000US21838</t>
  </si>
  <si>
    <t>ZCTA5 21838</t>
  </si>
  <si>
    <t>8600000US21840</t>
  </si>
  <si>
    <t>ZCTA5 21840</t>
  </si>
  <si>
    <t>8600000US21841</t>
  </si>
  <si>
    <t>ZCTA5 21841</t>
  </si>
  <si>
    <t>8600000US21842</t>
  </si>
  <si>
    <t>ZCTA5 21842</t>
  </si>
  <si>
    <t>8600000US21849</t>
  </si>
  <si>
    <t>ZCTA5 21849</t>
  </si>
  <si>
    <t>8600000US21850</t>
  </si>
  <si>
    <t>ZCTA5 21850</t>
  </si>
  <si>
    <t>8600000US21851</t>
  </si>
  <si>
    <t>ZCTA5 21851</t>
  </si>
  <si>
    <t>8600000US21853</t>
  </si>
  <si>
    <t>ZCTA5 21853</t>
  </si>
  <si>
    <t>8600000US21856</t>
  </si>
  <si>
    <t>ZCTA5 21856</t>
  </si>
  <si>
    <t>8600000US21861</t>
  </si>
  <si>
    <t>ZCTA5 21861</t>
  </si>
  <si>
    <t>8600000US21862</t>
  </si>
  <si>
    <t>ZCTA5 21862</t>
  </si>
  <si>
    <t>8600000US21863</t>
  </si>
  <si>
    <t>ZCTA5 21863</t>
  </si>
  <si>
    <t>8600000US21864</t>
  </si>
  <si>
    <t>ZCTA5 21864</t>
  </si>
  <si>
    <t>8600000US21865</t>
  </si>
  <si>
    <t>ZCTA5 21865</t>
  </si>
  <si>
    <t>8600000US21866</t>
  </si>
  <si>
    <t>ZCTA5 21866</t>
  </si>
  <si>
    <t>8600000US21867</t>
  </si>
  <si>
    <t>ZCTA5 21867</t>
  </si>
  <si>
    <t>8600000US21869</t>
  </si>
  <si>
    <t>ZCTA5 21869</t>
  </si>
  <si>
    <t>8600000US21871</t>
  </si>
  <si>
    <t>ZCTA5 21871</t>
  </si>
  <si>
    <t>8600000US21872</t>
  </si>
  <si>
    <t>ZCTA5 21872</t>
  </si>
  <si>
    <t>8600000US21874</t>
  </si>
  <si>
    <t>ZCTA5 21874</t>
  </si>
  <si>
    <t>8600000US21875</t>
  </si>
  <si>
    <t>ZCTA5 21875</t>
  </si>
  <si>
    <t>8600000US21890</t>
  </si>
  <si>
    <t>ZCTA5 21890</t>
  </si>
  <si>
    <t>8600000US21901</t>
  </si>
  <si>
    <t>ZCTA5 21901</t>
  </si>
  <si>
    <t>8600000US21902</t>
  </si>
  <si>
    <t>ZCTA5 21902</t>
  </si>
  <si>
    <t>8600000US21903</t>
  </si>
  <si>
    <t>ZCTA5 21903</t>
  </si>
  <si>
    <t>8600000US21904</t>
  </si>
  <si>
    <t>ZCTA5 21904</t>
  </si>
  <si>
    <t>8600000US21911</t>
  </si>
  <si>
    <t>ZCTA5 21911</t>
  </si>
  <si>
    <t>8600000US21912</t>
  </si>
  <si>
    <t>ZCTA5 21912</t>
  </si>
  <si>
    <t>8600000US21913</t>
  </si>
  <si>
    <t>ZCTA5 21913</t>
  </si>
  <si>
    <t>8600000US21914</t>
  </si>
  <si>
    <t>ZCTA5 21914</t>
  </si>
  <si>
    <t>8600000US21915</t>
  </si>
  <si>
    <t>ZCTA5 21915</t>
  </si>
  <si>
    <t>8600000US21916</t>
  </si>
  <si>
    <t>ZCTA5 21916</t>
  </si>
  <si>
    <t>8600000US21917</t>
  </si>
  <si>
    <t>ZCTA5 21917</t>
  </si>
  <si>
    <t>8600000US21918</t>
  </si>
  <si>
    <t>ZCTA5 21918</t>
  </si>
  <si>
    <t>8600000US21919</t>
  </si>
  <si>
    <t>ZCTA5 21919</t>
  </si>
  <si>
    <t>8600000US21920</t>
  </si>
  <si>
    <t>ZCTA5 21920</t>
  </si>
  <si>
    <t>8600000US21921</t>
  </si>
  <si>
    <t>ZCTA5 21921</t>
  </si>
  <si>
    <t>8600000US21930</t>
  </si>
  <si>
    <t>ZCTA5 21930</t>
  </si>
  <si>
    <t>Total Population</t>
  </si>
  <si>
    <t>Below 138% of FPL</t>
  </si>
  <si>
    <t>Below 138% of FPL - Under 19 years - With health insurance coverage</t>
  </si>
  <si>
    <t>Below 138% of FPL - Under 19 years</t>
  </si>
  <si>
    <t>Below 138% of FPL - Under 19 years - No Health Insurance</t>
  </si>
  <si>
    <t>Below 138% of FPL - 19 to 64 years</t>
  </si>
  <si>
    <t>Below 138% of FPL - 19 to 64 years - No Health Insurance</t>
  </si>
  <si>
    <t>Below 138% of FPL - 65 years and over</t>
  </si>
  <si>
    <t>Below 138% of FPL - 65 years and over - With Health Insurance</t>
  </si>
  <si>
    <t>Below 138% of FPL - 65 years and over - No Health Insurance</t>
  </si>
  <si>
    <t>138 to 199% of FPL</t>
  </si>
  <si>
    <t>138 to 199% of FPL - Under 19 years:</t>
  </si>
  <si>
    <t>138 to 199% of FPL - Under 19 years - With health insurance</t>
  </si>
  <si>
    <t>138 to 199% of FPL- 19 to 64 years</t>
  </si>
  <si>
    <t>138 to 199% of FPL - 19 to 64 years - With health insurance</t>
  </si>
  <si>
    <t>138 to 199% of FPL - 19 to 64 years - No health insurance</t>
  </si>
  <si>
    <t>138 to 199% of FPL - 65 years and over</t>
  </si>
  <si>
    <t>138 to 199% of FPL - 65 years and over - With health insurance</t>
  </si>
  <si>
    <t>138 to 199% of FPL - 65 years and over - No health insurance</t>
  </si>
  <si>
    <t>200 to 399% of FPL</t>
  </si>
  <si>
    <t>200 to 399% of FPL - Under 19 years</t>
  </si>
  <si>
    <t>200 to 399% of FPL - Under 19 years - With health insurance</t>
  </si>
  <si>
    <t>200 to 399% of FPL - Under 19 years - No health insurance</t>
  </si>
  <si>
    <t>200 to 399% of FPL - 19 to 64 years</t>
  </si>
  <si>
    <t>200 to 399% of FPL - 19 to 64 years - With health insurance</t>
  </si>
  <si>
    <t>200 to 399% of FPL - 19 to 64 years - No health insurance</t>
  </si>
  <si>
    <t>200 to 399% of FPL - 65 years and over</t>
  </si>
  <si>
    <t>200 to 399% of FPL - 65 years and over - With health insurance</t>
  </si>
  <si>
    <t>200 to 399% of FPL - 65 years and over - No health insurance</t>
  </si>
  <si>
    <t>400% FPL and over</t>
  </si>
  <si>
    <t>400% FPL and over - Under 19 years</t>
  </si>
  <si>
    <t>400% FPL and over - Under 19 years - With health insurance</t>
  </si>
  <si>
    <t>400% FPL and over - Under 19 years - No health insurance</t>
  </si>
  <si>
    <t>400% FPL and over - 19 to 64 years</t>
  </si>
  <si>
    <t>400% FPL and over - 19 to 64 years - With health insurance</t>
  </si>
  <si>
    <t>400% FPL and over - 19 to 64 years - No health insurance</t>
  </si>
  <si>
    <t>400% FPL and over - 65 years and over</t>
  </si>
  <si>
    <t>400% FPL and over - 65 years and over - With health insurance</t>
  </si>
  <si>
    <t>400% FPL and over - 65 years and over - No health insurance</t>
  </si>
  <si>
    <t>ZIP code</t>
  </si>
  <si>
    <t>Below 138% of FPL - No Health Insurance</t>
  </si>
  <si>
    <t>Below 138% of FPL - 19 to 64 years - With Health Insurance</t>
  </si>
  <si>
    <t>138% to 199% - No Health Insurance</t>
  </si>
  <si>
    <t>200 to 399% of FPL - No Health Insurance</t>
  </si>
  <si>
    <t>400% FPL and over - No Health Insurance</t>
  </si>
  <si>
    <t>Total Uninsured Population</t>
  </si>
  <si>
    <t>Zip Code</t>
  </si>
  <si>
    <t>City</t>
  </si>
  <si>
    <t>County</t>
  </si>
  <si>
    <t>Hyattsville</t>
  </si>
  <si>
    <t>Prince Georges</t>
  </si>
  <si>
    <t>Silver Spring</t>
  </si>
  <si>
    <t>Montgomery</t>
  </si>
  <si>
    <t>Baltimore</t>
  </si>
  <si>
    <t>Baltimore City</t>
  </si>
  <si>
    <t>Gaithersburg</t>
  </si>
  <si>
    <t>Glen Burnie</t>
  </si>
  <si>
    <t>Anne Arundel</t>
  </si>
  <si>
    <t>Lanham</t>
  </si>
  <si>
    <t>Hagerstown</t>
  </si>
  <si>
    <t>Washington</t>
  </si>
  <si>
    <t>Germantown</t>
  </si>
  <si>
    <t>Fort Washington</t>
  </si>
  <si>
    <t>Parkville</t>
  </si>
  <si>
    <t>Dundalk</t>
  </si>
  <si>
    <t>Riverdale</t>
  </si>
  <si>
    <t>Oxon Hill</t>
  </si>
  <si>
    <t>Essex</t>
  </si>
  <si>
    <t>Owings Mills</t>
  </si>
  <si>
    <t>Gwynn Oak</t>
  </si>
  <si>
    <t>Capitol Heights</t>
  </si>
  <si>
    <t>Middle River</t>
  </si>
  <si>
    <t>Brooklyn</t>
  </si>
  <si>
    <t>District Heights</t>
  </si>
  <si>
    <t>Montgomery Village</t>
  </si>
  <si>
    <t>Windsor Mill</t>
  </si>
  <si>
    <t>Temple Hills</t>
  </si>
  <si>
    <t>Elkton</t>
  </si>
  <si>
    <t>Cecil</t>
  </si>
  <si>
    <t>Takoma Park</t>
  </si>
  <si>
    <t>Upper Marlboro</t>
  </si>
  <si>
    <t>Salisbury</t>
  </si>
  <si>
    <t>Wicomico</t>
  </si>
  <si>
    <t>Rosedale</t>
  </si>
  <si>
    <t>Laurel</t>
  </si>
  <si>
    <t>Greenbelt</t>
  </si>
  <si>
    <t>Halethorpe</t>
  </si>
  <si>
    <t>Beltsville</t>
  </si>
  <si>
    <t>Frederick</t>
  </si>
  <si>
    <t>Reisterstown</t>
  </si>
  <si>
    <t>Suitland</t>
  </si>
  <si>
    <t>Pasadena</t>
  </si>
  <si>
    <t>Cumberland</t>
  </si>
  <si>
    <t>Allegany</t>
  </si>
  <si>
    <t>Rockville</t>
  </si>
  <si>
    <t>College Park</t>
  </si>
  <si>
    <t>Catonsville</t>
  </si>
  <si>
    <t>Clinton</t>
  </si>
  <si>
    <t>Severn</t>
  </si>
  <si>
    <t>Howard</t>
  </si>
  <si>
    <t>Elkridge</t>
  </si>
  <si>
    <t>Westminster</t>
  </si>
  <si>
    <t>Carroll</t>
  </si>
  <si>
    <t>Annapolis</t>
  </si>
  <si>
    <t>Columbia</t>
  </si>
  <si>
    <t>Aberdeen</t>
  </si>
  <si>
    <t>Harford</t>
  </si>
  <si>
    <t>Randallstown</t>
  </si>
  <si>
    <t>Edgewood</t>
  </si>
  <si>
    <t>Cockeysville</t>
  </si>
  <si>
    <t>Pikesville</t>
  </si>
  <si>
    <t>Nottingham</t>
  </si>
  <si>
    <t>Ellicott City</t>
  </si>
  <si>
    <t>Lexington Park</t>
  </si>
  <si>
    <t>Saint Marys</t>
  </si>
  <si>
    <t>Lusby</t>
  </si>
  <si>
    <t>Calvert</t>
  </si>
  <si>
    <t>Easton</t>
  </si>
  <si>
    <t>Talbot</t>
  </si>
  <si>
    <t>Mount Rainier</t>
  </si>
  <si>
    <t>Bladensburg</t>
  </si>
  <si>
    <t>Mechanicsville</t>
  </si>
  <si>
    <t>Berlin</t>
  </si>
  <si>
    <t>Worcester</t>
  </si>
  <si>
    <t>Oakland</t>
  </si>
  <si>
    <t>Garrett</t>
  </si>
  <si>
    <t>North East</t>
  </si>
  <si>
    <t>Lutherville Timonium</t>
  </si>
  <si>
    <t>Bowie</t>
  </si>
  <si>
    <t>Odenton</t>
  </si>
  <si>
    <t>Waldorf</t>
  </si>
  <si>
    <t>Charles</t>
  </si>
  <si>
    <t>Burtonsville</t>
  </si>
  <si>
    <t>Kensington</t>
  </si>
  <si>
    <t>Bel Air</t>
  </si>
  <si>
    <t>Mount Airy</t>
  </si>
  <si>
    <t>Arnold</t>
  </si>
  <si>
    <t>Brandywine</t>
  </si>
  <si>
    <t>Leonardtown</t>
  </si>
  <si>
    <t>Sykesville</t>
  </si>
  <si>
    <t>Thurmont</t>
  </si>
  <si>
    <t>Derwood</t>
  </si>
  <si>
    <t>Clarksburg</t>
  </si>
  <si>
    <t>Ocean City</t>
  </si>
  <si>
    <t>Edgewater</t>
  </si>
  <si>
    <t>Millersville</t>
  </si>
  <si>
    <t>Abingdon</t>
  </si>
  <si>
    <t>Taneytown</t>
  </si>
  <si>
    <t>Bethesda</t>
  </si>
  <si>
    <t>Havre De Grace</t>
  </si>
  <si>
    <t>Huntingtown</t>
  </si>
  <si>
    <t>Towson</t>
  </si>
  <si>
    <t>Jessup</t>
  </si>
  <si>
    <t>Clear Spring</t>
  </si>
  <si>
    <t>Brentwood</t>
  </si>
  <si>
    <t>Denton</t>
  </si>
  <si>
    <t>Caroline</t>
  </si>
  <si>
    <t>Cambridge</t>
  </si>
  <si>
    <t>Dorchester</t>
  </si>
  <si>
    <t>Potomac</t>
  </si>
  <si>
    <t>Frostburg</t>
  </si>
  <si>
    <t>Crofton</t>
  </si>
  <si>
    <t>Olney</t>
  </si>
  <si>
    <t>Pocomoke City</t>
  </si>
  <si>
    <t>Prince Frederick</t>
  </si>
  <si>
    <t>Chevy Chase</t>
  </si>
  <si>
    <t>Charlotte Hall</t>
  </si>
  <si>
    <t>La Plata</t>
  </si>
  <si>
    <t>Princess Anne</t>
  </si>
  <si>
    <t>Somerset</t>
  </si>
  <si>
    <t>Joppa</t>
  </si>
  <si>
    <t>Delmar</t>
  </si>
  <si>
    <t>Federalsburg</t>
  </si>
  <si>
    <t>California</t>
  </si>
  <si>
    <t>Boyds</t>
  </si>
  <si>
    <t>Hanover</t>
  </si>
  <si>
    <t>Rising Sun</t>
  </si>
  <si>
    <t>Linthicum Heights</t>
  </si>
  <si>
    <t>Hampstead</t>
  </si>
  <si>
    <t>Marydel</t>
  </si>
  <si>
    <t>Glenn Dale</t>
  </si>
  <si>
    <t>Great Mills</t>
  </si>
  <si>
    <t>Accokeek</t>
  </si>
  <si>
    <t>Woodstock</t>
  </si>
  <si>
    <t>Crisfield</t>
  </si>
  <si>
    <t>Boonsboro</t>
  </si>
  <si>
    <t>Smithsburg</t>
  </si>
  <si>
    <t>Fruitland</t>
  </si>
  <si>
    <t>Preston</t>
  </si>
  <si>
    <t>Indian Head</t>
  </si>
  <si>
    <t>Forest Hill</t>
  </si>
  <si>
    <t>Chestertown</t>
  </si>
  <si>
    <t>Kent</t>
  </si>
  <si>
    <t>Chesapeake Beach</t>
  </si>
  <si>
    <t>Walkersville</t>
  </si>
  <si>
    <t>Williamsport</t>
  </si>
  <si>
    <t>Dunkirk</t>
  </si>
  <si>
    <t>Severna Park</t>
  </si>
  <si>
    <t>Fallston</t>
  </si>
  <si>
    <t>Grantsville</t>
  </si>
  <si>
    <t>Damascus</t>
  </si>
  <si>
    <t>Chester</t>
  </si>
  <si>
    <t>Queen Annes</t>
  </si>
  <si>
    <t>New Market</t>
  </si>
  <si>
    <t>Perryville</t>
  </si>
  <si>
    <t>Freeland</t>
  </si>
  <si>
    <t>Centreville</t>
  </si>
  <si>
    <t>Middletown</t>
  </si>
  <si>
    <t>Bryans Road</t>
  </si>
  <si>
    <t>Saint Leonard</t>
  </si>
  <si>
    <t>Snow Hill</t>
  </si>
  <si>
    <t>Lothian</t>
  </si>
  <si>
    <t>Woodbine</t>
  </si>
  <si>
    <t>Hollywood</t>
  </si>
  <si>
    <t>Keymar</t>
  </si>
  <si>
    <t>Jarrettsville</t>
  </si>
  <si>
    <t>Stevensville</t>
  </si>
  <si>
    <t>Sparrows Point</t>
  </si>
  <si>
    <t>Crownsville</t>
  </si>
  <si>
    <t>Union Bridge</t>
  </si>
  <si>
    <t>Port Deposit</t>
  </si>
  <si>
    <t>Sharpsburg</t>
  </si>
  <si>
    <t>Greensboro</t>
  </si>
  <si>
    <t>Eden</t>
  </si>
  <si>
    <t>Street</t>
  </si>
  <si>
    <t>Finksburg</t>
  </si>
  <si>
    <t>Curtis Bay</t>
  </si>
  <si>
    <t>Hurlock</t>
  </si>
  <si>
    <t>Hughesville</t>
  </si>
  <si>
    <t>Conowingo</t>
  </si>
  <si>
    <t>Kingsville</t>
  </si>
  <si>
    <t>Millington</t>
  </si>
  <si>
    <t>Trappe</t>
  </si>
  <si>
    <t>Clarksville</t>
  </si>
  <si>
    <t>Ridgely</t>
  </si>
  <si>
    <t>North Beach</t>
  </si>
  <si>
    <t>Chesapeake City</t>
  </si>
  <si>
    <t>Sandy Spring</t>
  </si>
  <si>
    <t>Parsonsburg</t>
  </si>
  <si>
    <t>Grasonville</t>
  </si>
  <si>
    <t>Adamstown</t>
  </si>
  <si>
    <t>Brookeville</t>
  </si>
  <si>
    <t>Sparks Glencoe</t>
  </si>
  <si>
    <t>Perry Hall</t>
  </si>
  <si>
    <t>Pittsville</t>
  </si>
  <si>
    <t>Shady Side</t>
  </si>
  <si>
    <t>Gambrills</t>
  </si>
  <si>
    <t>Emmitsburg</t>
  </si>
  <si>
    <t>Hebron</t>
  </si>
  <si>
    <t>Belcamp</t>
  </si>
  <si>
    <t>Poolesville</t>
  </si>
  <si>
    <t>Manchester</t>
  </si>
  <si>
    <t>Westover</t>
  </si>
  <si>
    <t>Galena</t>
  </si>
  <si>
    <t>Swanton</t>
  </si>
  <si>
    <t>Brunswick</t>
  </si>
  <si>
    <t>Saint Michaels</t>
  </si>
  <si>
    <t>Mount Savage</t>
  </si>
  <si>
    <t>Fort George G Meade</t>
  </si>
  <si>
    <t>Keedysville</t>
  </si>
  <si>
    <t>Willards</t>
  </si>
  <si>
    <t>Queenstown</t>
  </si>
  <si>
    <t>Darlington</t>
  </si>
  <si>
    <t>Friendsville</t>
  </si>
  <si>
    <t>Cheltenham</t>
  </si>
  <si>
    <t>Jefferson</t>
  </si>
  <si>
    <t>Savage</t>
  </si>
  <si>
    <t>Knoxville</t>
  </si>
  <si>
    <t>Hancock</t>
  </si>
  <si>
    <t>Owings</t>
  </si>
  <si>
    <t>Marion Station</t>
  </si>
  <si>
    <t>Westernport</t>
  </si>
  <si>
    <t>Rock Hall</t>
  </si>
  <si>
    <t>Myersville</t>
  </si>
  <si>
    <t>Oldtown</t>
  </si>
  <si>
    <t>Flintstone</t>
  </si>
  <si>
    <t>Harwood</t>
  </si>
  <si>
    <t>White Plains</t>
  </si>
  <si>
    <t>White Marsh</t>
  </si>
  <si>
    <t>Lonaconing</t>
  </si>
  <si>
    <t>Mardela Springs</t>
  </si>
  <si>
    <t>Newark</t>
  </si>
  <si>
    <t>Riva</t>
  </si>
  <si>
    <t>Colora</t>
  </si>
  <si>
    <t>Rhodesdale</t>
  </si>
  <si>
    <t>White Hall</t>
  </si>
  <si>
    <t>Port Republic</t>
  </si>
  <si>
    <t>New Windsor</t>
  </si>
  <si>
    <t>Ijamsville</t>
  </si>
  <si>
    <t>Monrovia</t>
  </si>
  <si>
    <t>Upperco</t>
  </si>
  <si>
    <t>Newburg</t>
  </si>
  <si>
    <t>Cordova</t>
  </si>
  <si>
    <t>Worton</t>
  </si>
  <si>
    <t>Secretary</t>
  </si>
  <si>
    <t>Big Pool</t>
  </si>
  <si>
    <t>Earleville</t>
  </si>
  <si>
    <t>Henderson</t>
  </si>
  <si>
    <t>Davidsonville</t>
  </si>
  <si>
    <t>Dickerson</t>
  </si>
  <si>
    <t>Warwick</t>
  </si>
  <si>
    <t>Phoenix</t>
  </si>
  <si>
    <t>Whiteford</t>
  </si>
  <si>
    <t>Parkton</t>
  </si>
  <si>
    <t>Cascade</t>
  </si>
  <si>
    <t>Accident</t>
  </si>
  <si>
    <t>Kennedyville</t>
  </si>
  <si>
    <t>Pomfret</t>
  </si>
  <si>
    <t>Woodsboro</t>
  </si>
  <si>
    <t>Cecilton</t>
  </si>
  <si>
    <t>Sabillasville</t>
  </si>
  <si>
    <t>Aquasco</t>
  </si>
  <si>
    <t>Nanjemoy</t>
  </si>
  <si>
    <t>Monkton</t>
  </si>
  <si>
    <t>Linkwood</t>
  </si>
  <si>
    <t>Sudlersville</t>
  </si>
  <si>
    <t>Pylesville</t>
  </si>
  <si>
    <t>Barclay</t>
  </si>
  <si>
    <t>Vienna</t>
  </si>
  <si>
    <t>Callaway</t>
  </si>
  <si>
    <t>Fulton</t>
  </si>
  <si>
    <t>Churchville</t>
  </si>
  <si>
    <t>Whaleyville</t>
  </si>
  <si>
    <t>Saint Inigoes</t>
  </si>
  <si>
    <t>Marriottsville</t>
  </si>
  <si>
    <t>Mc Henry</t>
  </si>
  <si>
    <t>Fort Howard</t>
  </si>
  <si>
    <t>Church Hill</t>
  </si>
  <si>
    <t>Avenue</t>
  </si>
  <si>
    <t>Quantico</t>
  </si>
  <si>
    <t>Barton</t>
  </si>
  <si>
    <t>West River</t>
  </si>
  <si>
    <t>Queen Anne</t>
  </si>
  <si>
    <t>Funkstown</t>
  </si>
  <si>
    <t>Showell</t>
  </si>
  <si>
    <t>East New Market</t>
  </si>
  <si>
    <t>Goldsboro</t>
  </si>
  <si>
    <t>Rocky Ridge</t>
  </si>
  <si>
    <t>Bishopville</t>
  </si>
  <si>
    <t>Wittman</t>
  </si>
  <si>
    <t>Sherwood</t>
  </si>
  <si>
    <t>Glen Arm</t>
  </si>
  <si>
    <t>Midland</t>
  </si>
  <si>
    <t>Point Of Rocks</t>
  </si>
  <si>
    <t>Rawlings</t>
  </si>
  <si>
    <t>Benedict</t>
  </si>
  <si>
    <t>Tilghman</t>
  </si>
  <si>
    <t>Bittinger</t>
  </si>
  <si>
    <t>Port Tobacco</t>
  </si>
  <si>
    <t>Highland</t>
  </si>
  <si>
    <t>Maugansville</t>
  </si>
  <si>
    <t>Crumpton</t>
  </si>
  <si>
    <t>Ashton</t>
  </si>
  <si>
    <t>Deale</t>
  </si>
  <si>
    <t>Abell</t>
  </si>
  <si>
    <t>Cobb Island</t>
  </si>
  <si>
    <t>Solomons</t>
  </si>
  <si>
    <t>Oxford</t>
  </si>
  <si>
    <t>Allen</t>
  </si>
  <si>
    <t>Cabin John</t>
  </si>
  <si>
    <t>Cooksville</t>
  </si>
  <si>
    <t>Deal Island</t>
  </si>
  <si>
    <t>Broomes Island</t>
  </si>
  <si>
    <t>Tyaskin</t>
  </si>
  <si>
    <t>Betterton</t>
  </si>
  <si>
    <t>Church Creek</t>
  </si>
  <si>
    <t>Spencerville</t>
  </si>
  <si>
    <t>Chaptico</t>
  </si>
  <si>
    <t>Coltons Point</t>
  </si>
  <si>
    <t>Perryman</t>
  </si>
  <si>
    <t>Bozman</t>
  </si>
  <si>
    <t>Stockton</t>
  </si>
  <si>
    <t>Glenwood</t>
  </si>
  <si>
    <t>Sharptown</t>
  </si>
  <si>
    <t>Dowell</t>
  </si>
  <si>
    <t>West Friendship</t>
  </si>
  <si>
    <t>Galesville</t>
  </si>
  <si>
    <t>Dayton</t>
  </si>
  <si>
    <t>Glenelg</t>
  </si>
  <si>
    <t>Elk Mills</t>
  </si>
  <si>
    <t>Tracys Landing</t>
  </si>
  <si>
    <t>Stevenson</t>
  </si>
  <si>
    <t>Ellerslie</t>
  </si>
  <si>
    <t>Madison</t>
  </si>
  <si>
    <t>Marbury</t>
  </si>
  <si>
    <t>Girdletree</t>
  </si>
  <si>
    <t>Ridge</t>
  </si>
  <si>
    <t>Churchton</t>
  </si>
  <si>
    <t>Royal Oak</t>
  </si>
  <si>
    <t>Little Orleans</t>
  </si>
  <si>
    <t>Clements</t>
  </si>
  <si>
    <t>Baldwin</t>
  </si>
  <si>
    <t>Issue</t>
  </si>
  <si>
    <t>Ewell</t>
  </si>
  <si>
    <t>Charlestown</t>
  </si>
  <si>
    <t>Andrews Air Force Base</t>
  </si>
  <si>
    <t>Friendship</t>
  </si>
  <si>
    <t>Toddville</t>
  </si>
  <si>
    <t>Piney Point</t>
  </si>
  <si>
    <t>Bel Alton</t>
  </si>
  <si>
    <t>Hillsboro</t>
  </si>
  <si>
    <t>Bivalve</t>
  </si>
  <si>
    <t>Georgetown</t>
  </si>
  <si>
    <t>Taylors Island</t>
  </si>
  <si>
    <t>Garrett Park</t>
  </si>
  <si>
    <t>Corriganville</t>
  </si>
  <si>
    <t>Harmans</t>
  </si>
  <si>
    <t>Luke</t>
  </si>
  <si>
    <t>Fairplay</t>
  </si>
  <si>
    <t>Kitzmiller</t>
  </si>
  <si>
    <t>Bryantown</t>
  </si>
  <si>
    <t>Valley Lee</t>
  </si>
  <si>
    <t>Claiborne</t>
  </si>
  <si>
    <t>Fishing Creek</t>
  </si>
  <si>
    <t>Rohrersville</t>
  </si>
  <si>
    <t>Tall Timbers</t>
  </si>
  <si>
    <t>Mcdaniel</t>
  </si>
  <si>
    <t>Sunderland</t>
  </si>
  <si>
    <t>Bloomington</t>
  </si>
  <si>
    <t>Bushwood</t>
  </si>
  <si>
    <t>Glen Echo</t>
  </si>
  <si>
    <t>Welcome</t>
  </si>
  <si>
    <t>Washington Grove</t>
  </si>
  <si>
    <t>Woolford</t>
  </si>
  <si>
    <t>Burkittsville</t>
  </si>
  <si>
    <t>Upper Falls</t>
  </si>
  <si>
    <t>Crapo</t>
  </si>
  <si>
    <t>Perry Point</t>
  </si>
  <si>
    <t>Beallsville</t>
  </si>
  <si>
    <t>Aberdeen Proving Ground</t>
  </si>
  <si>
    <t>Barnesville</t>
  </si>
  <si>
    <t>Newcomb</t>
  </si>
  <si>
    <t>Dameron</t>
  </si>
  <si>
    <t>Drayden</t>
  </si>
  <si>
    <t>Faulkner</t>
  </si>
  <si>
    <t>Morganza</t>
  </si>
  <si>
    <t>Park Hall</t>
  </si>
  <si>
    <t>Patuxent River</t>
  </si>
  <si>
    <t>Saint Marys City</t>
  </si>
  <si>
    <t>Scotland</t>
  </si>
  <si>
    <t>Annapolis Junction</t>
  </si>
  <si>
    <t>Brinklow</t>
  </si>
  <si>
    <t>Gunpowder</t>
  </si>
  <si>
    <t>Hunt Valley</t>
  </si>
  <si>
    <t>Fork</t>
  </si>
  <si>
    <t>Gibson Island</t>
  </si>
  <si>
    <t>Glyndon</t>
  </si>
  <si>
    <t>Hydes</t>
  </si>
  <si>
    <t>Maryland Line</t>
  </si>
  <si>
    <t>Midlothian</t>
  </si>
  <si>
    <t>Crocheron</t>
  </si>
  <si>
    <t>Ingleside</t>
  </si>
  <si>
    <t>Massey</t>
  </si>
  <si>
    <t>Neavitt</t>
  </si>
  <si>
    <t>Still Pond</t>
  </si>
  <si>
    <t>Wingate</t>
  </si>
  <si>
    <t>Wye Mills</t>
  </si>
  <si>
    <t>Braddock Heights</t>
  </si>
  <si>
    <t>Buckeystown</t>
  </si>
  <si>
    <t>Libertytown</t>
  </si>
  <si>
    <t>Saint James</t>
  </si>
  <si>
    <t>Tuscarora</t>
  </si>
  <si>
    <t>Nanticoke</t>
  </si>
  <si>
    <t>Tylerton</t>
  </si>
  <si>
    <t>Upper Fairmount</t>
  </si>
  <si>
    <t>Childs</t>
  </si>
  <si>
    <t>Adjusted Total Uninsured</t>
  </si>
  <si>
    <t>ZIP Code</t>
  </si>
  <si>
    <t>Estimate; Foreign Born: - Noncitizen: - No health insurance coverage</t>
  </si>
  <si>
    <t>% Dist</t>
  </si>
  <si>
    <t>Uninsured</t>
  </si>
  <si>
    <t>Size of adjusted gross income</t>
  </si>
  <si>
    <t>Number of returns</t>
  </si>
  <si>
    <t>Advance premium tax credit</t>
  </si>
  <si>
    <t>APTC Amount</t>
  </si>
  <si>
    <t>Health care individual responsibility payment</t>
  </si>
  <si>
    <t>Payment Amount</t>
  </si>
  <si>
    <t>Total</t>
  </si>
  <si>
    <t>county</t>
  </si>
  <si>
    <t>Payment Returns</t>
  </si>
  <si>
    <t>Alternate Adj Total Uninsured</t>
  </si>
  <si>
    <t>MOE - Total Population</t>
  </si>
  <si>
    <t>MOE - Below 138% of FPL</t>
  </si>
  <si>
    <t>MOE - Below 138% of FPL - Under 19 years</t>
  </si>
  <si>
    <t>MOE - Below 138% of FPL - Under 19 years - With health insurance</t>
  </si>
  <si>
    <t>MOE - Below 138% of FPL - Under 19 year - No Health Insurance</t>
  </si>
  <si>
    <t>MOE - Below 138% of FPL - 19 to 64 years</t>
  </si>
  <si>
    <t>MOE - Below 138% of FPL - 19 to 64 years - With Health Insurance</t>
  </si>
  <si>
    <t>MOE - Below 138% of FPL - 19 to 64 years - No Health Insurance</t>
  </si>
  <si>
    <t>MOE - Below 138% of FPL - 65 years and over</t>
  </si>
  <si>
    <t>MOE - Below 138% of FPL - 65 years and over - With Health Insurance</t>
  </si>
  <si>
    <t>MOE - Below 138% of FPL - 65 years and over - No Health Insurance</t>
  </si>
  <si>
    <t>MOE - 138 to 199% of FPL</t>
  </si>
  <si>
    <t>MOE - 138 to 199% of FPL - Under 19 years:</t>
  </si>
  <si>
    <t>MOE - 138 to 199% of FPL - Under 19 years - With health insurance</t>
  </si>
  <si>
    <t>MOE - 138 to 199% of FPL - Under 19 years - No health insurance coverage</t>
  </si>
  <si>
    <t>138 to 199% of FPL - Under 19 years - No health insurance coverage</t>
  </si>
  <si>
    <t>MOE - 138 to 199% of FPL- 19 to 64 years</t>
  </si>
  <si>
    <t>MOE - 138 to 199% of FPL - 19 to 64 years - With health insurance</t>
  </si>
  <si>
    <t>MOE - 138 to 199% of FPL - 19 to 64 years - No health insurance</t>
  </si>
  <si>
    <t>MOE - 138 to 199% of FPL - 65 years and over</t>
  </si>
  <si>
    <t>MOE - 138 to 199% of FPL - 65 years and over - With health insurance</t>
  </si>
  <si>
    <t>MOE - 138 to 199% of FPL - 65 years and over - No health insurance</t>
  </si>
  <si>
    <t>MOE - 200 to 399% of FPL</t>
  </si>
  <si>
    <t>MOE - 200 to 399% of FPL - Under 19 years</t>
  </si>
  <si>
    <t>MOE - 200 to 399% of FPL - Under 19 years - With health insurance</t>
  </si>
  <si>
    <t>MOE - 200 to 399% of FPL - Under 19 years - No health insurance</t>
  </si>
  <si>
    <t>MOE - 200 to 399% of FPL - 19 to 64 years</t>
  </si>
  <si>
    <t>MOE - 200 to 399% of FPL - 19 to 64 years - With health insurance</t>
  </si>
  <si>
    <t>MOE - 200 to 399% of FPL - 19 to 64 years - No health insurance</t>
  </si>
  <si>
    <t>MOE - 200 to 399% of FPL - 65 years and over</t>
  </si>
  <si>
    <t>MOE - 200 to 399% of FPL - 65 years and over - With health insurance</t>
  </si>
  <si>
    <t>MOE - 200 to 399% of FPL - 65 years and over - No health insurance</t>
  </si>
  <si>
    <t>MOE - 400% FPL and over</t>
  </si>
  <si>
    <t>MOE - 400% FPL and over - Under 19 years</t>
  </si>
  <si>
    <t>MOE - 400% FPL and over - Under 19 years - With health insurance</t>
  </si>
  <si>
    <t>MOE - 400% FPL and over - Under 19 years - No health insurance</t>
  </si>
  <si>
    <t>MOE - 400% FPL and over - 19 to 64 years</t>
  </si>
  <si>
    <t>MOE - 400% FPL and over - 19 to 64 years - With health insurance</t>
  </si>
  <si>
    <t>MOE - 400% FPL and over - 19 to 64 years - No health insurance</t>
  </si>
  <si>
    <t>MOE - 400% FPL and over - 65 years and over</t>
  </si>
  <si>
    <t>MOE - 400% FPL and over - 65 years and over - With health insurance</t>
  </si>
  <si>
    <t>MOE - 400% FPL and over - 65 years and over - No health insurance</t>
  </si>
  <si>
    <t>Statewide</t>
  </si>
  <si>
    <t>Groups of Interest</t>
  </si>
  <si>
    <t>&lt;138% of Federal Poverty Level subpopulation</t>
  </si>
  <si>
    <t xml:space="preserve">    - % Uninsured out of entire subpop.</t>
  </si>
  <si>
    <t xml:space="preserve">   - % Uninsured out of entire subpop.</t>
  </si>
  <si>
    <t xml:space="preserve">   - 65 years and above</t>
  </si>
  <si>
    <t xml:space="preserve">   - 65+, Uninsured</t>
  </si>
  <si>
    <t xml:space="preserve">   - % Uninsured out of 65+ subpop.</t>
  </si>
  <si>
    <t>138-199 of Federal Poverty Level subpopulation</t>
  </si>
  <si>
    <t>200-399% of Federal Poverty Level subpopulation</t>
  </si>
  <si>
    <t>400% of Federal Poverty Level subpopulation</t>
  </si>
  <si>
    <t>Uninsured from all subpopulations</t>
  </si>
  <si>
    <t xml:space="preserve">    - Under 19 years</t>
  </si>
  <si>
    <t xml:space="preserve">    - Under 19, Uninsured</t>
  </si>
  <si>
    <t xml:space="preserve">    - % Uninsured out of Under 19 subpop.</t>
  </si>
  <si>
    <t xml:space="preserve">   - Between 19-64 years</t>
  </si>
  <si>
    <t xml:space="preserve">   - 19-64, Uninsured</t>
  </si>
  <si>
    <t xml:space="preserve">   - % Uninsured out of 19-64 subpop.</t>
  </si>
  <si>
    <t>StatewideTotals:</t>
  </si>
  <si>
    <t>This tab breaks down the data into various tables showing statewide figures.</t>
  </si>
  <si>
    <t>MostNeed LT18 &amp; 18-64:</t>
  </si>
  <si>
    <t>This tab shows data for ages 0-64 years of age across all income brackets. Margin of error is shown for each aggregate total based on the raw ACS data.</t>
  </si>
  <si>
    <t>MostNeed CountyAgg:</t>
  </si>
  <si>
    <t>PivotTables:</t>
  </si>
  <si>
    <t>This tab allows the user to filter the Most Need table to display subsets of information. The two tables on this tab control the subsequent two tabs.</t>
  </si>
  <si>
    <t>TotalsPivotChart:</t>
  </si>
  <si>
    <t>This tab displays a pie chart showing just the adjusted totals for the counties selected in the first table on the "PivotTables" tab, broken down by zip code.</t>
  </si>
  <si>
    <t>PivotChart:</t>
  </si>
  <si>
    <t>This tab displays a bar chart showing the breakdown of uninsured persons across income brackets and zip codes in a designated county from the second table on the "PivotTables" tab.</t>
  </si>
  <si>
    <t>This workbook is designed to be a companion to the "Uninsured by Zipcode Report 2019.docx" document. The first tab contains a table with all of the data from the American Community Survey dataset C27016. The list below details the rest of the tabs and their contents.</t>
  </si>
  <si>
    <t>UninsuredAnalysis:</t>
  </si>
  <si>
    <t>Adjusted Total</t>
  </si>
  <si>
    <t>Alternate Adj. Total</t>
  </si>
  <si>
    <t>Below 138% of FPL - Uninsured</t>
  </si>
  <si>
    <t>MOE - Below 138% of FPL - Uninsured</t>
  </si>
  <si>
    <t>138 to 199% of FPL - Uninsured</t>
  </si>
  <si>
    <t>MOE - 139 to 199% of FPL - Uninsured</t>
  </si>
  <si>
    <t>200 to 399% of FPL - Uninsured</t>
  </si>
  <si>
    <t>MOE - 201 to 399% of FPL - Uninsured</t>
  </si>
  <si>
    <t>400% FPL and over - Uninsured</t>
  </si>
  <si>
    <t>MOE - 400% FPL and over - Uninsured</t>
  </si>
  <si>
    <t>This table contains the sum of uninsured persons below 19 years and between 19-64 years of age. Go to "PivotTables" tab to see filtered display of results and edit the "PivotChart" and "TotalsPivotChart" tabs.</t>
  </si>
  <si>
    <t>This table contains the total number of persons within each income bracket in each ZIP Code along with the uninsured in that bracket and ZIP Code. All ages are represented in this table (0-65+).</t>
  </si>
  <si>
    <t>This tab shows only the uninsured and total figures for each income bracket along with the adjusted totals. This table shows data for all ages (0-65+).</t>
  </si>
  <si>
    <t>From 5-year ACS Dataset</t>
  </si>
  <si>
    <t>% State</t>
  </si>
  <si>
    <t>% State Adj.</t>
  </si>
  <si>
    <t>This tab aggregates all the zip code data by county for the 5-year dataset. Method #2 from the report is used to adjust the totals and the percent each county contributes to the statewide uninsured figure is displayed.</t>
  </si>
  <si>
    <t>This tab allows the user to filter the statewide data for specific counties, without extraneous information such as Margin of Error or intermediate totals. The first PivotTable below corresponds to the chart on the tab "TotalsPivotChart" and the second PivotTable below corresponds to the chart on the tab "PivotChart". NOTE: For the "PivotChart" tab, the user should only select one county's worth of data at a time in order to keep the chart readable.</t>
  </si>
  <si>
    <t>Row Labels</t>
  </si>
  <si>
    <t>Grand Total</t>
  </si>
  <si>
    <t>Sum of Alternate Adj. Total</t>
  </si>
  <si>
    <t>(Multiple Items)</t>
  </si>
  <si>
    <t>% County</t>
  </si>
  <si>
    <t>RSE - Total</t>
  </si>
  <si>
    <t>Relative Standard Error - Total</t>
  </si>
  <si>
    <r>
      <t>In order to determine which portion of the population in each zip code that are uninsured are actually eligible for enrollment in the individual market (or Medicaid), the totals below are adjusted to account for those with access to employer-based coverage and those of unlawful immigration status.</t>
    </r>
    <r>
      <rPr>
        <sz val="11"/>
        <color rgb="FFFF0000"/>
        <rFont val="Calibri"/>
        <family val="2"/>
        <scheme val="minor"/>
      </rPr>
      <t xml:space="preserve"> NOTE: values below 1,000 were left unadjusted other than to remove any record with less than 50 total uninsured persons.</t>
    </r>
    <r>
      <rPr>
        <sz val="11"/>
        <color theme="1"/>
        <rFont val="Calibri"/>
        <family val="2"/>
        <scheme val="minor"/>
      </rPr>
      <t xml:space="preserve"> Finally, any record with &gt;30% Relative Standard Error was removed. All removed records are shown in "RemovedUninsMostNeed" tab. Methodology is covered in the report "Uninsured by Zip Report 2019.xlsx".</t>
    </r>
  </si>
  <si>
    <t>Relative Standard Error - Total Uninsured</t>
  </si>
  <si>
    <r>
      <t>In order to determine which portion of the population in each zip code that are uninsured are actually eligible for enrollment in the individual market, the totals below are adjusted to account for those with access to employer-based coverage and those of unlawful immigration status.</t>
    </r>
    <r>
      <rPr>
        <sz val="11"/>
        <color rgb="FFFF0000"/>
        <rFont val="Calibri"/>
        <family val="2"/>
        <scheme val="minor"/>
      </rPr>
      <t xml:space="preserve"> NOTE: values below 1,000 were left unadjusted  other than to remove any record with less than 50 total uninsured persons.</t>
    </r>
    <r>
      <rPr>
        <sz val="11"/>
        <rFont val="Calibri"/>
        <family val="2"/>
        <scheme val="minor"/>
      </rPr>
      <t xml:space="preserve"> Finally, any record with &gt;30% Relative Standard Error was removed. All removed records are shown in "RemovedUninsured" tab. </t>
    </r>
    <r>
      <rPr>
        <sz val="11"/>
        <color theme="1"/>
        <rFont val="Calibri"/>
        <family val="2"/>
        <scheme val="minor"/>
      </rPr>
      <t>Methodology is covered in the report "Uninsured by Zip Report 2019.xlsx".</t>
    </r>
  </si>
  <si>
    <t>Total Uninsured</t>
  </si>
  <si>
    <t>Adjusted Uninsured</t>
  </si>
  <si>
    <t>Uninsured children under 19, potentially eligible for subsidized QHP</t>
  </si>
  <si>
    <t>Proportion</t>
  </si>
  <si>
    <t>Adjusted Uninsured children under 19, potentially eligible for subsidized QHP or Medicaid</t>
  </si>
  <si>
    <t>Proportion unsubsidized</t>
  </si>
  <si>
    <t>Adjusted Uninsured Children and Non-elderly adults, unsubsidized QHP eligible</t>
  </si>
  <si>
    <t>Uninsured children and non-elderly adults, unsubsidized QHP eligible</t>
  </si>
  <si>
    <t>Uninsured non-elderly adults, subsidized QHP eligible</t>
  </si>
  <si>
    <t>Proportion subsidized adults</t>
  </si>
  <si>
    <t>Adjusted Uninsured non-elderly adults subsidized QHP eligible</t>
  </si>
  <si>
    <r>
      <t xml:space="preserve">This table shows the totals for each zip code aggregated into their respective counties, for ages 0 to 64. The total and adjusted total are displayed for each and the percent that county contributes to the statewide uninsured population is also included. </t>
    </r>
    <r>
      <rPr>
        <i/>
        <sz val="12"/>
        <color theme="1"/>
        <rFont val="Calibri"/>
        <family val="2"/>
        <scheme val="minor"/>
      </rPr>
      <t>NOTE: The Adjustment method #2 detailed in the "Uninsured by Zipcode Report 2019.docx" document is used in this table.</t>
    </r>
  </si>
  <si>
    <t>Adjusted Below 138% of FPL - No Health Insurance</t>
  </si>
  <si>
    <t>Adjusted 138% to 199% - No Health Insurance</t>
  </si>
  <si>
    <t>Adjusted 200 to 399% of FPL - No Health Insurance</t>
  </si>
  <si>
    <t>Adjusted 400% FPL and over - No Health Insurance</t>
  </si>
  <si>
    <t>Adjusted Below 138% of FPL - Uninsured</t>
  </si>
  <si>
    <t>Adjusted 138 to 199% of FPL - Uninsured</t>
  </si>
  <si>
    <t>Adjusted 400% FPL and over - Uninsured</t>
  </si>
  <si>
    <t>Adjusted 200 to 399% of FPL - Uninsured</t>
  </si>
  <si>
    <t>Sum of Adjusted Below 138% of FPL - Uninsured</t>
  </si>
  <si>
    <t>Sum of Adjusted 138 to 199% of FPL - Uninsured</t>
  </si>
  <si>
    <t>Sum of Adjusted 200 to 399% of FPL - Uninsured</t>
  </si>
  <si>
    <t>Sum of Adjusted 400% FPL and over - Uninsured</t>
  </si>
  <si>
    <t>Adjusted Uninsured from all subpopulations</t>
  </si>
  <si>
    <t>Percent Removed</t>
  </si>
  <si>
    <t>Raw Uninsured Total</t>
  </si>
</sst>
</file>

<file path=xl/styles.xml><?xml version="1.0" encoding="utf-8"?>
<styleSheet xmlns="http://schemas.openxmlformats.org/spreadsheetml/2006/main" xmlns:mc="http://schemas.openxmlformats.org/markup-compatibility/2006" xmlns:x14ac="http://schemas.microsoft.com/office/spreadsheetml/2009/9/ac" mc:Ignorable="x14ac">
  <fonts count="27"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i/>
      <sz val="11"/>
      <color theme="1"/>
      <name val="Calibri"/>
      <family val="2"/>
      <scheme val="minor"/>
    </font>
    <font>
      <b/>
      <i/>
      <sz val="11"/>
      <color theme="0"/>
      <name val="Calibri"/>
      <family val="2"/>
      <scheme val="minor"/>
    </font>
    <font>
      <sz val="16"/>
      <color theme="1"/>
      <name val="Calibri"/>
      <family val="2"/>
      <scheme val="minor"/>
    </font>
    <font>
      <sz val="10"/>
      <color theme="1"/>
      <name val="Calibri"/>
      <family val="2"/>
      <scheme val="minor"/>
    </font>
    <font>
      <sz val="14"/>
      <color theme="1"/>
      <name val="Calibri"/>
      <family val="2"/>
      <scheme val="minor"/>
    </font>
    <font>
      <sz val="12"/>
      <color theme="1"/>
      <name val="Calibri"/>
      <family val="2"/>
      <scheme val="minor"/>
    </font>
    <font>
      <i/>
      <sz val="12"/>
      <color theme="1"/>
      <name val="Calibri"/>
      <family val="2"/>
      <scheme val="minor"/>
    </font>
    <font>
      <b/>
      <sz val="11"/>
      <color theme="0"/>
      <name val="Calibri"/>
      <family val="2"/>
      <scheme val="minor"/>
    </font>
    <font>
      <sz val="1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bgColor theme="4"/>
      </patternFill>
    </fill>
    <fill>
      <patternFill patternType="solid">
        <fgColor theme="4" tint="0.79998168889431442"/>
        <bgColor theme="4" tint="0.79998168889431442"/>
      </patternFill>
    </fill>
    <fill>
      <patternFill patternType="solid">
        <fgColor theme="4" tint="0.79998168889431442"/>
        <bgColor indexed="64"/>
      </patternFill>
    </fill>
  </fills>
  <borders count="6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style="thin">
        <color indexed="64"/>
      </left>
      <right/>
      <top style="thin">
        <color indexed="64"/>
      </top>
      <bottom style="thin">
        <color indexed="64"/>
      </bottom>
      <diagonal/>
    </border>
    <border>
      <left style="thin">
        <color theme="4" tint="0.39997558519241921"/>
      </left>
      <right/>
      <top style="thin">
        <color theme="4" tint="0.39997558519241921"/>
      </top>
      <bottom/>
      <diagonal/>
    </border>
    <border>
      <left/>
      <right/>
      <top style="thin">
        <color theme="4" tint="0.39997558519241921"/>
      </top>
      <bottom/>
      <diagonal/>
    </border>
    <border>
      <left/>
      <right style="thin">
        <color theme="0"/>
      </right>
      <top/>
      <bottom/>
      <diagonal/>
    </border>
    <border>
      <left style="thin">
        <color theme="0"/>
      </left>
      <right style="thin">
        <color theme="0"/>
      </right>
      <top/>
      <bottom/>
      <diagonal/>
    </border>
    <border>
      <left style="thin">
        <color theme="0"/>
      </left>
      <right/>
      <top/>
      <bottom/>
      <diagonal/>
    </border>
    <border>
      <left style="thin">
        <color auto="1"/>
      </left>
      <right style="thin">
        <color theme="0"/>
      </right>
      <top style="thin">
        <color auto="1"/>
      </top>
      <bottom/>
      <diagonal/>
    </border>
    <border>
      <left style="thin">
        <color theme="0"/>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style="thin">
        <color theme="4" tint="0.39997558519241921"/>
      </top>
      <bottom style="thin">
        <color theme="4" tint="0.39997558519241921"/>
      </bottom>
      <diagonal/>
    </border>
    <border>
      <left style="thin">
        <color theme="0"/>
      </left>
      <right style="thin">
        <color theme="0"/>
      </right>
      <top style="thin">
        <color auto="1"/>
      </top>
      <bottom/>
      <diagonal/>
    </border>
    <border>
      <left style="double">
        <color auto="1"/>
      </left>
      <right/>
      <top/>
      <bottom/>
      <diagonal/>
    </border>
    <border>
      <left style="double">
        <color auto="1"/>
      </left>
      <right style="thin">
        <color theme="0"/>
      </right>
      <top/>
      <bottom/>
      <diagonal/>
    </border>
    <border>
      <left style="thin">
        <color indexed="64"/>
      </left>
      <right/>
      <top style="thin">
        <color indexed="64"/>
      </top>
      <bottom style="thin">
        <color theme="4" tint="0.39997558519241921"/>
      </bottom>
      <diagonal/>
    </border>
    <border>
      <left style="thin">
        <color indexed="64"/>
      </left>
      <right/>
      <top style="thin">
        <color theme="4" tint="0.39997558519241921"/>
      </top>
      <bottom style="thin">
        <color indexed="64"/>
      </bottom>
      <diagonal/>
    </border>
    <border>
      <left style="thin">
        <color auto="1"/>
      </left>
      <right style="thin">
        <color auto="1"/>
      </right>
      <top/>
      <bottom/>
      <diagonal/>
    </border>
    <border>
      <left style="thin">
        <color auto="1"/>
      </left>
      <right style="thin">
        <color auto="1"/>
      </right>
      <top/>
      <bottom/>
      <diagonal/>
    </border>
    <border>
      <left/>
      <right/>
      <top style="thin">
        <color indexed="64"/>
      </top>
      <bottom/>
      <diagonal/>
    </border>
    <border>
      <left/>
      <right style="thin">
        <color auto="1"/>
      </right>
      <top style="thin">
        <color auto="1"/>
      </top>
      <bottom/>
      <diagonal/>
    </border>
    <border>
      <left/>
      <right style="thin">
        <color auto="1"/>
      </right>
      <top/>
      <bottom style="thin">
        <color auto="1"/>
      </bottom>
      <diagonal/>
    </border>
    <border>
      <left/>
      <right style="thin">
        <color auto="1"/>
      </right>
      <top style="thin">
        <color theme="4" tint="0.39997558519241921"/>
      </top>
      <bottom style="thin">
        <color theme="4" tint="0.39997558519241921"/>
      </bottom>
      <diagonal/>
    </border>
    <border>
      <left style="medium">
        <color auto="1"/>
      </left>
      <right style="thin">
        <color theme="0"/>
      </right>
      <top style="medium">
        <color auto="1"/>
      </top>
      <bottom style="thin">
        <color theme="0"/>
      </bottom>
      <diagonal/>
    </border>
    <border>
      <left style="thin">
        <color theme="0"/>
      </left>
      <right style="thin">
        <color theme="0"/>
      </right>
      <top style="medium">
        <color auto="1"/>
      </top>
      <bottom style="thin">
        <color theme="0"/>
      </bottom>
      <diagonal/>
    </border>
    <border>
      <left style="thin">
        <color theme="0"/>
      </left>
      <right style="medium">
        <color auto="1"/>
      </right>
      <top style="medium">
        <color auto="1"/>
      </top>
      <bottom style="thin">
        <color theme="0"/>
      </bottom>
      <diagonal/>
    </border>
    <border>
      <left style="medium">
        <color auto="1"/>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style="medium">
        <color auto="1"/>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style="medium">
        <color rgb="FF0070C0"/>
      </left>
      <right/>
      <top style="medium">
        <color rgb="FF0070C0"/>
      </top>
      <bottom/>
      <diagonal/>
    </border>
    <border>
      <left/>
      <right/>
      <top style="medium">
        <color rgb="FF0070C0"/>
      </top>
      <bottom/>
      <diagonal/>
    </border>
    <border>
      <left/>
      <right style="medium">
        <color rgb="FF0070C0"/>
      </right>
      <top style="medium">
        <color rgb="FF0070C0"/>
      </top>
      <bottom/>
      <diagonal/>
    </border>
    <border>
      <left/>
      <right style="thin">
        <color theme="0"/>
      </right>
      <top style="thin">
        <color theme="0"/>
      </top>
      <bottom style="thin">
        <color theme="0"/>
      </bottom>
      <diagonal/>
    </border>
    <border>
      <left style="medium">
        <color rgb="FF0070C0"/>
      </left>
      <right/>
      <top/>
      <bottom/>
      <diagonal/>
    </border>
    <border>
      <left/>
      <right style="medium">
        <color rgb="FF0070C0"/>
      </right>
      <top/>
      <bottom/>
      <diagonal/>
    </border>
    <border>
      <left style="medium">
        <color rgb="FF0070C0"/>
      </left>
      <right/>
      <top/>
      <bottom style="medium">
        <color rgb="FF0070C0"/>
      </bottom>
      <diagonal/>
    </border>
    <border>
      <left/>
      <right/>
      <top/>
      <bottom style="medium">
        <color rgb="FF0070C0"/>
      </bottom>
      <diagonal/>
    </border>
    <border>
      <left/>
      <right style="medium">
        <color rgb="FF0070C0"/>
      </right>
      <top/>
      <bottom style="medium">
        <color rgb="FF0070C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right/>
      <top style="thin">
        <color theme="0"/>
      </top>
      <bottom style="thin">
        <color theme="0"/>
      </bottom>
      <diagonal/>
    </border>
    <border>
      <left/>
      <right/>
      <top/>
      <bottom style="thin">
        <color indexed="64"/>
      </bottom>
      <diagonal/>
    </border>
    <border>
      <left style="thin">
        <color auto="1"/>
      </left>
      <right style="thin">
        <color auto="1"/>
      </right>
      <top style="thin">
        <color theme="4" tint="0.39997558519241921"/>
      </top>
      <bottom style="thin">
        <color theme="4" tint="0.39997558519241921"/>
      </bottom>
      <diagonal/>
    </border>
    <border>
      <left style="thin">
        <color indexed="64"/>
      </left>
      <right style="thin">
        <color indexed="64"/>
      </right>
      <top style="thin">
        <color indexed="64"/>
      </top>
      <bottom style="thin">
        <color theme="4" tint="0.39997558519241921"/>
      </bottom>
      <diagonal/>
    </border>
    <border>
      <left style="thin">
        <color auto="1"/>
      </left>
      <right style="thin">
        <color auto="1"/>
      </right>
      <top/>
      <bottom style="thin">
        <color theme="4" tint="0.39997558519241921"/>
      </bottom>
      <diagonal/>
    </border>
    <border>
      <left/>
      <right style="thin">
        <color auto="1"/>
      </right>
      <top/>
      <bottom style="thin">
        <color theme="4" tint="0.39997558519241921"/>
      </bottom>
      <diagonal/>
    </border>
    <border>
      <left style="thin">
        <color indexed="64"/>
      </left>
      <right/>
      <top style="thin">
        <color theme="4" tint="0.39997558519241921"/>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31">
    <xf numFmtId="0" fontId="0" fillId="0" borderId="0" xfId="0"/>
    <xf numFmtId="0" fontId="0" fillId="34" borderId="10" xfId="0" applyFont="1" applyFill="1" applyBorder="1"/>
    <xf numFmtId="0" fontId="0" fillId="34" borderId="11" xfId="0" applyFont="1" applyFill="1" applyBorder="1"/>
    <xf numFmtId="0" fontId="0" fillId="0" borderId="10" xfId="0" applyFont="1" applyBorder="1"/>
    <xf numFmtId="0" fontId="0" fillId="0" borderId="11" xfId="0" applyFont="1" applyBorder="1"/>
    <xf numFmtId="0" fontId="13" fillId="33" borderId="12" xfId="0" applyFont="1" applyFill="1" applyBorder="1" applyAlignment="1">
      <alignment wrapText="1"/>
    </xf>
    <xf numFmtId="0" fontId="13" fillId="33" borderId="10" xfId="0" applyFont="1" applyFill="1" applyBorder="1" applyAlignment="1">
      <alignment wrapText="1"/>
    </xf>
    <xf numFmtId="0" fontId="13" fillId="33" borderId="11" xfId="0" applyFont="1" applyFill="1" applyBorder="1" applyAlignment="1">
      <alignment wrapText="1"/>
    </xf>
    <xf numFmtId="0" fontId="0" fillId="34" borderId="13" xfId="0" applyFont="1" applyFill="1" applyBorder="1"/>
    <xf numFmtId="0" fontId="0" fillId="0" borderId="13" xfId="0" applyFont="1" applyBorder="1"/>
    <xf numFmtId="0" fontId="0" fillId="0" borderId="14" xfId="0" applyFont="1" applyBorder="1"/>
    <xf numFmtId="0" fontId="13" fillId="33" borderId="11" xfId="0" applyFont="1" applyFill="1" applyBorder="1"/>
    <xf numFmtId="0" fontId="0" fillId="0" borderId="15" xfId="0" applyBorder="1" applyAlignment="1">
      <alignment vertical="center" wrapText="1"/>
    </xf>
    <xf numFmtId="0" fontId="0" fillId="0" borderId="16" xfId="0" applyBorder="1" applyAlignment="1">
      <alignment vertical="center" wrapText="1"/>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0" fillId="0" borderId="17" xfId="0" applyBorder="1" applyAlignment="1">
      <alignment vertical="center" wrapText="1"/>
    </xf>
    <xf numFmtId="0" fontId="0" fillId="0" borderId="18" xfId="0" applyBorder="1" applyAlignment="1">
      <alignment vertical="center" wrapText="1"/>
    </xf>
    <xf numFmtId="0" fontId="18" fillId="0" borderId="19" xfId="0" applyFont="1" applyBorder="1" applyAlignment="1">
      <alignment vertical="center" wrapText="1"/>
    </xf>
    <xf numFmtId="0" fontId="0" fillId="0" borderId="20" xfId="0" applyBorder="1"/>
    <xf numFmtId="0" fontId="18" fillId="0" borderId="21" xfId="0" applyFont="1" applyBorder="1"/>
    <xf numFmtId="0" fontId="18" fillId="0" borderId="23" xfId="0" applyFont="1" applyBorder="1" applyAlignment="1">
      <alignment vertical="center" wrapText="1"/>
    </xf>
    <xf numFmtId="0" fontId="0" fillId="0" borderId="23" xfId="0" applyBorder="1" applyAlignment="1">
      <alignment vertical="center" wrapText="1"/>
    </xf>
    <xf numFmtId="0" fontId="18" fillId="0" borderId="0" xfId="0" applyFont="1" applyBorder="1"/>
    <xf numFmtId="0" fontId="0" fillId="0" borderId="0" xfId="0" applyBorder="1"/>
    <xf numFmtId="0" fontId="0" fillId="0" borderId="23" xfId="0" applyFont="1" applyBorder="1" applyAlignment="1">
      <alignment vertical="center" wrapText="1"/>
    </xf>
    <xf numFmtId="0" fontId="0" fillId="0" borderId="0" xfId="0" applyFont="1" applyBorder="1"/>
    <xf numFmtId="0" fontId="0" fillId="0" borderId="25" xfId="0" applyBorder="1" applyAlignment="1">
      <alignment horizontal="center" vertical="center" wrapText="1"/>
    </xf>
    <xf numFmtId="0" fontId="0" fillId="0" borderId="24" xfId="0" applyBorder="1"/>
    <xf numFmtId="0" fontId="0" fillId="0" borderId="28" xfId="0" applyBorder="1"/>
    <xf numFmtId="0" fontId="18" fillId="0" borderId="29" xfId="0" applyFont="1" applyBorder="1"/>
    <xf numFmtId="0" fontId="0" fillId="0" borderId="0" xfId="0" applyFill="1"/>
    <xf numFmtId="0" fontId="13" fillId="0" borderId="30" xfId="0" applyFont="1" applyFill="1" applyBorder="1"/>
    <xf numFmtId="0" fontId="0" fillId="0" borderId="26" xfId="0" applyFont="1" applyFill="1" applyBorder="1"/>
    <xf numFmtId="3" fontId="0" fillId="0" borderId="31" xfId="0" applyNumberFormat="1" applyBorder="1"/>
    <xf numFmtId="0" fontId="0" fillId="0" borderId="22" xfId="0" quotePrefix="1" applyFont="1" applyFill="1" applyBorder="1"/>
    <xf numFmtId="3" fontId="0" fillId="0" borderId="21" xfId="0" applyNumberFormat="1" applyBorder="1"/>
    <xf numFmtId="10" fontId="0" fillId="0" borderId="22" xfId="0" quotePrefix="1" applyNumberFormat="1" applyFont="1" applyFill="1" applyBorder="1"/>
    <xf numFmtId="10" fontId="0" fillId="0" borderId="21" xfId="0" applyNumberFormat="1" applyBorder="1"/>
    <xf numFmtId="10" fontId="0" fillId="0" borderId="27" xfId="0" quotePrefix="1" applyNumberFormat="1" applyFont="1" applyFill="1" applyBorder="1"/>
    <xf numFmtId="10" fontId="0" fillId="0" borderId="32" xfId="0" applyNumberFormat="1" applyBorder="1"/>
    <xf numFmtId="0" fontId="0" fillId="0" borderId="22" xfId="0" applyFont="1" applyFill="1" applyBorder="1"/>
    <xf numFmtId="10" fontId="0" fillId="0" borderId="22" xfId="0" applyNumberFormat="1" applyFont="1" applyFill="1" applyBorder="1"/>
    <xf numFmtId="10" fontId="0" fillId="0" borderId="27" xfId="0" applyNumberFormat="1" applyFont="1" applyFill="1" applyBorder="1"/>
    <xf numFmtId="0" fontId="0" fillId="0" borderId="34" xfId="0" applyBorder="1"/>
    <xf numFmtId="0" fontId="0" fillId="0" borderId="35" xfId="0" applyBorder="1"/>
    <xf numFmtId="0" fontId="0" fillId="0" borderId="36" xfId="0" applyBorder="1"/>
    <xf numFmtId="0" fontId="0" fillId="0" borderId="37" xfId="0" applyBorder="1"/>
    <xf numFmtId="0" fontId="0" fillId="0" borderId="38" xfId="0" applyBorder="1"/>
    <xf numFmtId="0" fontId="0" fillId="0" borderId="39" xfId="0" applyBorder="1"/>
    <xf numFmtId="0" fontId="0" fillId="0" borderId="40" xfId="0" applyBorder="1"/>
    <xf numFmtId="0" fontId="0" fillId="0" borderId="41" xfId="0" applyBorder="1"/>
    <xf numFmtId="0" fontId="0" fillId="0" borderId="45" xfId="0" applyBorder="1"/>
    <xf numFmtId="0" fontId="0" fillId="0" borderId="53" xfId="0" applyBorder="1" applyAlignment="1"/>
    <xf numFmtId="0" fontId="0" fillId="0" borderId="45" xfId="0" applyBorder="1" applyAlignment="1"/>
    <xf numFmtId="0" fontId="22" fillId="0" borderId="0" xfId="0" applyFont="1" applyAlignment="1">
      <alignment horizontal="center" vertical="center" wrapText="1"/>
    </xf>
    <xf numFmtId="0" fontId="18" fillId="0" borderId="0" xfId="0" applyFont="1"/>
    <xf numFmtId="0" fontId="0" fillId="0" borderId="0" xfId="0" applyFont="1"/>
    <xf numFmtId="0" fontId="13" fillId="0" borderId="58" xfId="0" applyFont="1" applyFill="1" applyBorder="1" applyAlignment="1">
      <alignment vertical="center" wrapText="1"/>
    </xf>
    <xf numFmtId="0" fontId="13" fillId="0" borderId="29" xfId="0" applyFont="1" applyFill="1" applyBorder="1" applyAlignment="1">
      <alignment vertical="center" wrapText="1"/>
    </xf>
    <xf numFmtId="0" fontId="19" fillId="0" borderId="29" xfId="0" applyFont="1" applyFill="1" applyBorder="1" applyAlignment="1">
      <alignment vertical="center" wrapText="1"/>
    </xf>
    <xf numFmtId="0" fontId="13" fillId="0" borderId="20" xfId="0" applyFont="1" applyFill="1" applyBorder="1" applyAlignment="1">
      <alignment vertical="center" wrapText="1"/>
    </xf>
    <xf numFmtId="0" fontId="0" fillId="0" borderId="33" xfId="0" applyFont="1" applyFill="1" applyBorder="1"/>
    <xf numFmtId="0" fontId="0" fillId="0" borderId="56" xfId="0" applyFont="1" applyFill="1" applyBorder="1"/>
    <xf numFmtId="0" fontId="0" fillId="0" borderId="29" xfId="0" applyFill="1" applyBorder="1"/>
    <xf numFmtId="0" fontId="0" fillId="0" borderId="21" xfId="0" applyFont="1" applyFill="1" applyBorder="1"/>
    <xf numFmtId="0" fontId="0" fillId="0" borderId="29" xfId="0" applyFont="1" applyFill="1" applyBorder="1"/>
    <xf numFmtId="0" fontId="18" fillId="0" borderId="29" xfId="0" applyFont="1" applyFill="1" applyBorder="1"/>
    <xf numFmtId="0" fontId="13" fillId="0" borderId="59" xfId="0" applyFont="1" applyFill="1" applyBorder="1" applyAlignment="1">
      <alignment vertical="center" wrapText="1"/>
    </xf>
    <xf numFmtId="0" fontId="19" fillId="0" borderId="58" xfId="0" applyFont="1" applyFill="1" applyBorder="1" applyAlignment="1">
      <alignment vertical="center" wrapText="1"/>
    </xf>
    <xf numFmtId="4" fontId="0" fillId="0" borderId="20" xfId="0" applyNumberFormat="1" applyFill="1" applyBorder="1"/>
    <xf numFmtId="10" fontId="0" fillId="0" borderId="0" xfId="0" applyNumberFormat="1"/>
    <xf numFmtId="0" fontId="23" fillId="0" borderId="0" xfId="0" applyFont="1" applyBorder="1" applyAlignment="1">
      <alignment vertical="center" wrapText="1"/>
    </xf>
    <xf numFmtId="3" fontId="0" fillId="0" borderId="0" xfId="0" applyNumberFormat="1"/>
    <xf numFmtId="0" fontId="13" fillId="33" borderId="11" xfId="0" applyFont="1" applyFill="1" applyBorder="1" applyAlignment="1">
      <alignment horizontal="center" vertical="center" wrapText="1"/>
    </xf>
    <xf numFmtId="0" fontId="13" fillId="33" borderId="29" xfId="0" applyFont="1" applyFill="1" applyBorder="1" applyAlignment="1">
      <alignment horizontal="center" vertical="center" wrapText="1"/>
    </xf>
    <xf numFmtId="0" fontId="0" fillId="0" borderId="0" xfId="0" applyAlignment="1">
      <alignment horizontal="center" vertical="center"/>
    </xf>
    <xf numFmtId="3" fontId="13" fillId="33" borderId="57" xfId="0" applyNumberFormat="1" applyFont="1" applyFill="1" applyBorder="1" applyAlignment="1">
      <alignment horizontal="center" vertical="center" wrapText="1"/>
    </xf>
    <xf numFmtId="0" fontId="22" fillId="0" borderId="0" xfId="0" applyFont="1" applyAlignment="1">
      <alignment vertical="center" wrapText="1"/>
    </xf>
    <xf numFmtId="0" fontId="0" fillId="0" borderId="0" xfId="0" pivotButton="1"/>
    <xf numFmtId="0" fontId="0" fillId="0" borderId="0" xfId="0" applyAlignment="1">
      <alignment horizontal="left"/>
    </xf>
    <xf numFmtId="0" fontId="0" fillId="0" borderId="0" xfId="0" applyNumberFormat="1"/>
    <xf numFmtId="0" fontId="25" fillId="33" borderId="29" xfId="0" applyFont="1" applyFill="1" applyBorder="1" applyAlignment="1">
      <alignment horizontal="center" vertical="center" wrapText="1"/>
    </xf>
    <xf numFmtId="10" fontId="0" fillId="0" borderId="29" xfId="0" applyNumberFormat="1" applyFill="1" applyBorder="1"/>
    <xf numFmtId="2" fontId="0" fillId="0" borderId="0" xfId="0" applyNumberFormat="1"/>
    <xf numFmtId="0" fontId="0" fillId="0" borderId="0" xfId="0" applyAlignment="1">
      <alignment wrapText="1"/>
    </xf>
    <xf numFmtId="10" fontId="0" fillId="0" borderId="0" xfId="0" applyNumberFormat="1" applyAlignment="1">
      <alignment wrapText="1"/>
    </xf>
    <xf numFmtId="0" fontId="23" fillId="0" borderId="55" xfId="0" applyFont="1" applyBorder="1" applyAlignment="1">
      <alignment vertical="center" wrapText="1"/>
    </xf>
    <xf numFmtId="3" fontId="0" fillId="0" borderId="17" xfId="0" applyNumberFormat="1" applyBorder="1" applyAlignment="1">
      <alignment horizontal="center" vertical="center" wrapText="1"/>
    </xf>
    <xf numFmtId="3" fontId="0" fillId="0" borderId="24" xfId="0" applyNumberFormat="1" applyBorder="1"/>
    <xf numFmtId="3" fontId="23" fillId="0" borderId="55" xfId="0" applyNumberFormat="1" applyFont="1" applyBorder="1" applyAlignment="1">
      <alignment vertical="center" wrapText="1"/>
    </xf>
    <xf numFmtId="3" fontId="0" fillId="0" borderId="16" xfId="0" applyNumberFormat="1" applyBorder="1" applyAlignment="1">
      <alignment horizontal="center" vertical="center" wrapText="1"/>
    </xf>
    <xf numFmtId="3" fontId="0" fillId="0" borderId="56" xfId="0" applyNumberFormat="1" applyFont="1" applyFill="1" applyBorder="1" applyAlignment="1">
      <alignment wrapText="1"/>
    </xf>
    <xf numFmtId="3" fontId="0" fillId="0" borderId="56" xfId="0" applyNumberFormat="1" applyFont="1" applyFill="1" applyBorder="1"/>
    <xf numFmtId="3" fontId="0" fillId="0" borderId="29" xfId="0" applyNumberFormat="1" applyFont="1" applyFill="1" applyBorder="1"/>
    <xf numFmtId="3" fontId="18" fillId="0" borderId="0" xfId="0" applyNumberFormat="1" applyFont="1"/>
    <xf numFmtId="0" fontId="18" fillId="35" borderId="56" xfId="0" applyFont="1" applyFill="1" applyBorder="1"/>
    <xf numFmtId="3" fontId="23" fillId="0" borderId="0" xfId="0" applyNumberFormat="1" applyFont="1" applyBorder="1" applyAlignment="1">
      <alignment vertical="center" wrapText="1"/>
    </xf>
    <xf numFmtId="3" fontId="13" fillId="0" borderId="58" xfId="0" applyNumberFormat="1" applyFont="1" applyFill="1" applyBorder="1" applyAlignment="1">
      <alignment vertical="center" wrapText="1"/>
    </xf>
    <xf numFmtId="10" fontId="0" fillId="0" borderId="60" xfId="0" applyNumberFormat="1" applyFont="1" applyFill="1" applyBorder="1"/>
    <xf numFmtId="10" fontId="16" fillId="0" borderId="61" xfId="0" applyNumberFormat="1" applyFont="1" applyFill="1" applyBorder="1"/>
    <xf numFmtId="3" fontId="0" fillId="0" borderId="62" xfId="0" applyNumberFormat="1" applyBorder="1"/>
    <xf numFmtId="0" fontId="16" fillId="0" borderId="63" xfId="0" applyFont="1" applyFill="1" applyBorder="1"/>
    <xf numFmtId="3" fontId="16" fillId="0" borderId="64" xfId="0" applyNumberFormat="1" applyFont="1" applyBorder="1"/>
    <xf numFmtId="0" fontId="0" fillId="0" borderId="65" xfId="0" applyBorder="1"/>
    <xf numFmtId="0" fontId="0" fillId="0" borderId="66" xfId="0" applyBorder="1"/>
    <xf numFmtId="10" fontId="0" fillId="0" borderId="67" xfId="0" applyNumberFormat="1" applyBorder="1"/>
    <xf numFmtId="0" fontId="0" fillId="0" borderId="41" xfId="0" applyBorder="1" applyAlignment="1">
      <alignment horizontal="center" vertical="top"/>
    </xf>
    <xf numFmtId="0" fontId="0" fillId="0" borderId="54" xfId="0" applyBorder="1" applyAlignment="1">
      <alignment horizontal="center" vertical="top"/>
    </xf>
    <xf numFmtId="0" fontId="20" fillId="0" borderId="42" xfId="0" applyFont="1" applyBorder="1" applyAlignment="1">
      <alignment horizontal="center" wrapText="1"/>
    </xf>
    <xf numFmtId="0" fontId="20" fillId="0" borderId="43" xfId="0" applyFont="1" applyBorder="1" applyAlignment="1">
      <alignment horizontal="center" wrapText="1"/>
    </xf>
    <xf numFmtId="0" fontId="20" fillId="0" borderId="44" xfId="0" applyFont="1" applyBorder="1" applyAlignment="1">
      <alignment horizontal="center" wrapText="1"/>
    </xf>
    <xf numFmtId="0" fontId="20" fillId="0" borderId="46" xfId="0" applyFont="1" applyBorder="1" applyAlignment="1">
      <alignment horizontal="center" wrapText="1"/>
    </xf>
    <xf numFmtId="0" fontId="20" fillId="0" borderId="0" xfId="0" applyFont="1" applyBorder="1" applyAlignment="1">
      <alignment horizontal="center" wrapText="1"/>
    </xf>
    <xf numFmtId="0" fontId="20" fillId="0" borderId="47" xfId="0" applyFont="1" applyBorder="1" applyAlignment="1">
      <alignment horizontal="center" wrapText="1"/>
    </xf>
    <xf numFmtId="0" fontId="20" fillId="0" borderId="48" xfId="0" applyFont="1" applyBorder="1" applyAlignment="1">
      <alignment horizontal="center" wrapText="1"/>
    </xf>
    <xf numFmtId="0" fontId="20" fillId="0" borderId="49" xfId="0" applyFont="1" applyBorder="1" applyAlignment="1">
      <alignment horizontal="center" wrapText="1"/>
    </xf>
    <xf numFmtId="0" fontId="20" fillId="0" borderId="50" xfId="0" applyFont="1" applyBorder="1" applyAlignment="1">
      <alignment horizontal="center" wrapText="1"/>
    </xf>
    <xf numFmtId="0" fontId="0" fillId="0" borderId="51" xfId="0" applyBorder="1" applyAlignment="1">
      <alignment horizontal="center" vertical="top"/>
    </xf>
    <xf numFmtId="0" fontId="0" fillId="0" borderId="52" xfId="0" applyBorder="1" applyAlignment="1">
      <alignment horizontal="center" vertical="top"/>
    </xf>
    <xf numFmtId="0" fontId="21" fillId="0" borderId="52" xfId="0" applyFont="1" applyBorder="1" applyAlignment="1">
      <alignment horizontal="center" vertical="top" wrapText="1"/>
    </xf>
    <xf numFmtId="0" fontId="21" fillId="0" borderId="54" xfId="0" applyFont="1" applyBorder="1" applyAlignment="1">
      <alignment horizontal="center" vertical="top" wrapText="1"/>
    </xf>
    <xf numFmtId="0" fontId="0" fillId="0" borderId="41" xfId="0" applyBorder="1" applyAlignment="1">
      <alignment horizontal="center"/>
    </xf>
    <xf numFmtId="0" fontId="0" fillId="0" borderId="54" xfId="0" applyBorder="1" applyAlignment="1">
      <alignment horizontal="center"/>
    </xf>
    <xf numFmtId="0" fontId="0" fillId="0" borderId="45" xfId="0" applyBorder="1" applyAlignment="1">
      <alignment horizontal="center"/>
    </xf>
    <xf numFmtId="0" fontId="23" fillId="0" borderId="0" xfId="0" applyFont="1" applyAlignment="1">
      <alignment horizontal="center" vertical="center" wrapText="1"/>
    </xf>
    <xf numFmtId="0" fontId="0" fillId="0" borderId="55" xfId="0" applyFont="1" applyBorder="1" applyAlignment="1">
      <alignment horizontal="center" vertical="center" wrapText="1"/>
    </xf>
    <xf numFmtId="0" fontId="0" fillId="0" borderId="0" xfId="0" applyFont="1" applyAlignment="1">
      <alignment horizontal="center" vertical="center" wrapText="1"/>
    </xf>
    <xf numFmtId="0" fontId="0" fillId="0" borderId="0" xfId="0" applyFont="1" applyBorder="1" applyAlignment="1">
      <alignment horizontal="center" vertical="center" wrapText="1"/>
    </xf>
    <xf numFmtId="0" fontId="22" fillId="0" borderId="0" xfId="0" applyFont="1" applyAlignment="1">
      <alignment horizontal="center" vertical="center" wrapText="1"/>
    </xf>
    <xf numFmtId="3" fontId="0" fillId="0" borderId="0" xfId="0" applyNumberFormat="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252">
    <dxf>
      <numFmt numFmtId="3" formatCode="#,##0"/>
    </dxf>
    <dxf>
      <numFmt numFmtId="3" formatCode="#,##0"/>
    </dxf>
    <dxf>
      <numFmt numFmtId="3" formatCode="#,##0"/>
    </dxf>
    <dxf>
      <numFmt numFmtId="3" formatCode="#,##0"/>
    </dxf>
    <dxf>
      <border diagonalUp="0" diagonalDown="0" outline="0">
        <left style="double">
          <color auto="1"/>
        </left>
        <right/>
        <top/>
        <bottom/>
      </border>
    </dxf>
    <dxf>
      <numFmt numFmtId="3" formatCode="#,##0"/>
    </dxf>
    <dxf>
      <numFmt numFmtId="4" formatCode="#,##0.00"/>
      <fill>
        <patternFill patternType="none">
          <fgColor indexed="64"/>
          <bgColor indexed="65"/>
        </patternFill>
      </fill>
      <border diagonalUp="0" diagonalDown="0" outline="0">
        <left style="thin">
          <color auto="1"/>
        </left>
        <right/>
        <top/>
        <bottom/>
      </border>
    </dxf>
    <dxf>
      <fill>
        <patternFill patternType="none">
          <fgColor indexed="64"/>
          <bgColor indexed="65"/>
        </patternFill>
      </fill>
      <border diagonalUp="0" diagonalDown="0" outline="0">
        <left style="thin">
          <color auto="1"/>
        </left>
        <right style="thin">
          <color auto="1"/>
        </right>
        <top/>
        <bottom/>
      </border>
    </dxf>
    <dxf>
      <fill>
        <patternFill patternType="none">
          <fgColor indexed="64"/>
          <bgColor indexed="65"/>
        </patternFill>
      </fill>
      <border diagonalUp="0" diagonalDown="0" outline="0">
        <left style="thin">
          <color auto="1"/>
        </left>
        <right style="thin">
          <color auto="1"/>
        </right>
        <top/>
        <bottom/>
      </border>
    </dxf>
    <dxf>
      <fill>
        <patternFill patternType="none">
          <fgColor indexed="64"/>
          <bgColor indexed="65"/>
        </patternFill>
      </fill>
      <border diagonalUp="0" diagonalDown="0" outline="0">
        <left style="thin">
          <color auto="1"/>
        </left>
        <right style="thin">
          <color auto="1"/>
        </right>
        <top/>
        <bottom/>
      </border>
    </dxf>
    <dxf>
      <font>
        <b val="0"/>
        <i/>
        <strike val="0"/>
        <condense val="0"/>
        <extend val="0"/>
        <outline val="0"/>
        <shadow val="0"/>
        <u val="none"/>
        <vertAlign val="baseline"/>
        <sz val="11"/>
        <color theme="1"/>
        <name val="Calibri"/>
        <scheme val="minor"/>
      </font>
      <fill>
        <patternFill patternType="none">
          <fgColor indexed="64"/>
          <bgColor indexed="65"/>
        </patternFill>
      </fill>
      <border diagonalUp="0" diagonalDown="0" outline="0">
        <left style="thin">
          <color auto="1"/>
        </left>
        <right style="thin">
          <color auto="1"/>
        </right>
        <top/>
        <bottom/>
      </border>
    </dxf>
    <dxf>
      <font>
        <b val="0"/>
        <i val="0"/>
        <strike val="0"/>
        <condense val="0"/>
        <extend val="0"/>
        <outline val="0"/>
        <shadow val="0"/>
        <u val="none"/>
        <vertAlign val="baseline"/>
        <sz val="11"/>
        <color theme="1"/>
        <name val="Calibri"/>
        <scheme val="minor"/>
      </font>
      <numFmt numFmtId="3" formatCode="#,##0"/>
      <fill>
        <patternFill patternType="none">
          <fgColor indexed="64"/>
          <bgColor indexed="65"/>
        </patternFill>
      </fill>
      <border diagonalUp="0" diagonalDown="0" outline="0">
        <left style="thin">
          <color auto="1"/>
        </left>
        <right style="thin">
          <color auto="1"/>
        </right>
        <top/>
        <bottom/>
      </border>
    </dxf>
    <dxf>
      <font>
        <b val="0"/>
        <i val="0"/>
        <strike val="0"/>
        <condense val="0"/>
        <extend val="0"/>
        <outline val="0"/>
        <shadow val="0"/>
        <u val="none"/>
        <vertAlign val="baseline"/>
        <sz val="11"/>
        <color theme="1"/>
        <name val="Calibri"/>
        <scheme val="minor"/>
      </font>
      <fill>
        <patternFill patternType="none">
          <fgColor indexed="64"/>
          <bgColor indexed="65"/>
        </patternFill>
      </fill>
      <border diagonalUp="0" diagonalDown="0" outline="0">
        <left style="thin">
          <color auto="1"/>
        </left>
        <right style="thin">
          <color auto="1"/>
        </right>
        <top/>
        <bottom/>
      </border>
    </dxf>
    <dxf>
      <font>
        <b val="0"/>
        <i/>
        <strike val="0"/>
        <condense val="0"/>
        <extend val="0"/>
        <outline val="0"/>
        <shadow val="0"/>
        <u val="none"/>
        <vertAlign val="baseline"/>
        <sz val="11"/>
        <color theme="1"/>
        <name val="Calibri"/>
        <scheme val="minor"/>
      </font>
      <fill>
        <patternFill patternType="none">
          <fgColor indexed="64"/>
          <bgColor indexed="65"/>
        </patternFill>
      </fill>
      <border diagonalUp="0" diagonalDown="0" outline="0">
        <left style="thin">
          <color auto="1"/>
        </left>
        <right style="thin">
          <color auto="1"/>
        </right>
        <top/>
        <bottom/>
      </border>
    </dxf>
    <dxf>
      <font>
        <b val="0"/>
        <i val="0"/>
        <strike val="0"/>
        <condense val="0"/>
        <extend val="0"/>
        <outline val="0"/>
        <shadow val="0"/>
        <u val="none"/>
        <vertAlign val="baseline"/>
        <sz val="11"/>
        <color theme="1"/>
        <name val="Calibri"/>
        <scheme val="minor"/>
      </font>
      <numFmt numFmtId="3" formatCode="#,##0"/>
      <fill>
        <patternFill patternType="none">
          <fgColor indexed="64"/>
          <bgColor indexed="65"/>
        </patternFill>
      </fill>
      <border diagonalUp="0" diagonalDown="0" outline="0">
        <left style="thin">
          <color auto="1"/>
        </left>
        <right style="thin">
          <color auto="1"/>
        </right>
        <top/>
        <bottom/>
      </border>
    </dxf>
    <dxf>
      <font>
        <b val="0"/>
        <i val="0"/>
        <strike val="0"/>
        <condense val="0"/>
        <extend val="0"/>
        <outline val="0"/>
        <shadow val="0"/>
        <u val="none"/>
        <vertAlign val="baseline"/>
        <sz val="11"/>
        <color theme="1"/>
        <name val="Calibri"/>
        <scheme val="minor"/>
      </font>
      <fill>
        <patternFill patternType="none">
          <fgColor indexed="64"/>
          <bgColor indexed="65"/>
        </patternFill>
      </fill>
      <border diagonalUp="0" diagonalDown="0" outline="0">
        <left style="thin">
          <color auto="1"/>
        </left>
        <right style="thin">
          <color auto="1"/>
        </right>
        <top/>
        <bottom/>
      </border>
    </dxf>
    <dxf>
      <font>
        <b val="0"/>
        <i/>
        <strike val="0"/>
        <condense val="0"/>
        <extend val="0"/>
        <outline val="0"/>
        <shadow val="0"/>
        <u val="none"/>
        <vertAlign val="baseline"/>
        <sz val="11"/>
        <color theme="1"/>
        <name val="Calibri"/>
        <scheme val="minor"/>
      </font>
      <fill>
        <patternFill patternType="none">
          <fgColor indexed="64"/>
          <bgColor indexed="65"/>
        </patternFill>
      </fill>
      <border diagonalUp="0" diagonalDown="0" outline="0">
        <left style="thin">
          <color auto="1"/>
        </left>
        <right style="thin">
          <color auto="1"/>
        </right>
        <top/>
        <bottom/>
      </border>
    </dxf>
    <dxf>
      <font>
        <b val="0"/>
        <i val="0"/>
        <strike val="0"/>
        <condense val="0"/>
        <extend val="0"/>
        <outline val="0"/>
        <shadow val="0"/>
        <u val="none"/>
        <vertAlign val="baseline"/>
        <sz val="11"/>
        <color theme="1"/>
        <name val="Calibri"/>
        <scheme val="minor"/>
      </font>
      <numFmt numFmtId="3" formatCode="#,##0"/>
      <fill>
        <patternFill patternType="none">
          <fgColor indexed="64"/>
          <bgColor indexed="65"/>
        </patternFill>
      </fill>
      <border diagonalUp="0" diagonalDown="0" outline="0">
        <left style="thin">
          <color auto="1"/>
        </left>
        <right style="thin">
          <color auto="1"/>
        </right>
        <top/>
        <bottom/>
      </border>
    </dxf>
    <dxf>
      <font>
        <b val="0"/>
        <i val="0"/>
        <strike val="0"/>
        <condense val="0"/>
        <extend val="0"/>
        <outline val="0"/>
        <shadow val="0"/>
        <u val="none"/>
        <vertAlign val="baseline"/>
        <sz val="11"/>
        <color theme="1"/>
        <name val="Calibri"/>
        <scheme val="minor"/>
      </font>
      <fill>
        <patternFill patternType="none">
          <fgColor indexed="64"/>
          <bgColor indexed="65"/>
        </patternFill>
      </fill>
      <border diagonalUp="0" diagonalDown="0" outline="0">
        <left style="thin">
          <color auto="1"/>
        </left>
        <right style="thin">
          <color auto="1"/>
        </right>
        <top/>
        <bottom/>
      </border>
    </dxf>
    <dxf>
      <font>
        <b val="0"/>
        <i/>
        <strike val="0"/>
        <condense val="0"/>
        <extend val="0"/>
        <outline val="0"/>
        <shadow val="0"/>
        <u val="none"/>
        <vertAlign val="baseline"/>
        <sz val="11"/>
        <color theme="1"/>
        <name val="Calibri"/>
        <scheme val="minor"/>
      </font>
      <fill>
        <patternFill patternType="none">
          <fgColor indexed="64"/>
          <bgColor indexed="65"/>
        </patternFill>
      </fill>
      <border diagonalUp="0" diagonalDown="0" outline="0">
        <left style="thin">
          <color auto="1"/>
        </left>
        <right style="thin">
          <color auto="1"/>
        </right>
        <top/>
        <bottom/>
      </border>
    </dxf>
    <dxf>
      <font>
        <b val="0"/>
        <i val="0"/>
        <strike val="0"/>
        <condense val="0"/>
        <extend val="0"/>
        <outline val="0"/>
        <shadow val="0"/>
        <u val="none"/>
        <vertAlign val="baseline"/>
        <sz val="11"/>
        <color theme="1"/>
        <name val="Calibri"/>
        <scheme val="minor"/>
      </font>
      <numFmt numFmtId="3" formatCode="#,##0"/>
      <fill>
        <patternFill patternType="none">
          <fgColor indexed="64"/>
          <bgColor indexed="65"/>
        </patternFill>
      </fill>
      <border diagonalUp="0" diagonalDown="0" outline="0">
        <left style="thin">
          <color auto="1"/>
        </left>
        <right style="thin">
          <color auto="1"/>
        </right>
        <top/>
        <bottom/>
      </border>
    </dxf>
    <dxf>
      <font>
        <b val="0"/>
        <i val="0"/>
        <strike val="0"/>
        <condense val="0"/>
        <extend val="0"/>
        <outline val="0"/>
        <shadow val="0"/>
        <u val="none"/>
        <vertAlign val="baseline"/>
        <sz val="11"/>
        <color theme="1"/>
        <name val="Calibri"/>
        <scheme val="minor"/>
      </font>
      <fill>
        <patternFill patternType="none">
          <fgColor indexed="64"/>
          <bgColor indexed="65"/>
        </patternFill>
      </fill>
      <border diagonalUp="0" diagonalDown="0" outline="0">
        <left style="thin">
          <color auto="1"/>
        </left>
        <right style="thin">
          <color auto="1"/>
        </right>
        <top/>
        <bottom/>
      </border>
    </dxf>
    <dxf>
      <font>
        <b val="0"/>
        <i val="0"/>
        <strike val="0"/>
        <condense val="0"/>
        <extend val="0"/>
        <outline val="0"/>
        <shadow val="0"/>
        <u val="none"/>
        <vertAlign val="baseline"/>
        <sz val="11"/>
        <color theme="1"/>
        <name val="Calibri"/>
        <scheme val="minor"/>
      </font>
      <fill>
        <patternFill patternType="none">
          <fgColor indexed="64"/>
          <bgColor indexed="65"/>
        </patternFill>
      </fill>
      <border diagonalUp="0" diagonalDown="0" outline="0">
        <left style="thin">
          <color auto="1"/>
        </left>
        <right style="thin">
          <color auto="1"/>
        </right>
        <top/>
        <bottom/>
      </border>
    </dxf>
    <dxf>
      <font>
        <b val="0"/>
        <i val="0"/>
        <strike val="0"/>
        <condense val="0"/>
        <extend val="0"/>
        <outline val="0"/>
        <shadow val="0"/>
        <u val="none"/>
        <vertAlign val="baseline"/>
        <sz val="11"/>
        <color theme="1"/>
        <name val="Calibri"/>
        <scheme val="minor"/>
      </font>
      <fill>
        <patternFill patternType="none">
          <fgColor indexed="64"/>
          <bgColor indexed="65"/>
        </patternFill>
      </fill>
      <border diagonalUp="0" diagonalDown="0" outline="0">
        <left style="thin">
          <color auto="1"/>
        </left>
        <right style="thin">
          <color auto="1"/>
        </right>
        <top/>
        <bottom/>
      </border>
    </dxf>
    <dxf>
      <font>
        <b val="0"/>
        <i val="0"/>
        <strike val="0"/>
        <condense val="0"/>
        <extend val="0"/>
        <outline val="0"/>
        <shadow val="0"/>
        <u val="none"/>
        <vertAlign val="baseline"/>
        <sz val="11"/>
        <color theme="1"/>
        <name val="Calibri"/>
        <scheme val="minor"/>
      </font>
      <fill>
        <patternFill patternType="none">
          <fgColor indexed="64"/>
          <bgColor indexed="65"/>
        </patternFill>
      </fill>
      <border diagonalUp="0" diagonalDown="0" outline="0">
        <left/>
        <right style="thin">
          <color auto="1"/>
        </right>
        <top/>
        <bottom/>
      </border>
    </dxf>
    <dxf>
      <font>
        <b val="0"/>
        <i val="0"/>
        <strike val="0"/>
        <condense val="0"/>
        <extend val="0"/>
        <outline val="0"/>
        <shadow val="0"/>
        <u val="none"/>
        <vertAlign val="baseline"/>
        <sz val="11"/>
        <color theme="1"/>
        <name val="Calibri"/>
        <scheme val="minor"/>
      </font>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1"/>
        <color theme="1"/>
        <name val="Calibri"/>
        <scheme val="minor"/>
      </font>
      <border diagonalUp="0" diagonalDown="0">
        <left style="thin">
          <color theme="4" tint="0.39997558519241921"/>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1"/>
        <color theme="1"/>
        <name val="Calibri"/>
        <scheme val="minor"/>
      </font>
      <fill>
        <patternFill patternType="solid">
          <fgColor theme="4" tint="0.79998168889431442"/>
          <bgColor theme="4" tint="0.79998168889431442"/>
        </patternFill>
      </fill>
      <border diagonalUp="0" diagonalDown="0">
        <left style="thin">
          <color theme="4" tint="0.39997558519241921"/>
        </left>
        <right/>
        <top style="thin">
          <color theme="4" tint="0.39997558519241921"/>
        </top>
        <bottom style="thin">
          <color theme="4" tint="0.39997558519241921"/>
        </bottom>
        <vertical/>
        <horizontal/>
      </border>
    </dxf>
    <dxf>
      <border outline="0">
        <bottom style="thin">
          <color theme="4" tint="0.39997558519241921"/>
        </bottom>
      </border>
    </dxf>
    <dxf>
      <alignment horizontal="general" vertical="bottom" textRotation="0" wrapText="1" indent="0" justifyLastLine="0" shrinkToFit="0" readingOrder="0"/>
    </dxf>
    <dxf>
      <numFmt numFmtId="14" formatCode="0.00%"/>
    </dxf>
    <dxf>
      <alignment horizontal="general" vertical="bottom" textRotation="0" wrapText="1" indent="0" justifyLastLine="0" shrinkToFit="0" readingOrder="0"/>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b val="0"/>
        <i/>
        <strike val="0"/>
        <condense val="0"/>
        <extend val="0"/>
        <outline val="0"/>
        <shadow val="0"/>
        <u val="none"/>
        <vertAlign val="baseline"/>
        <sz val="11"/>
        <color theme="1"/>
        <name val="Calibri"/>
        <scheme val="minor"/>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b val="0"/>
        <i val="0"/>
        <strike val="0"/>
        <condense val="0"/>
        <extend val="0"/>
        <outline val="0"/>
        <shadow val="0"/>
        <u val="none"/>
        <vertAlign val="baseline"/>
        <sz val="11"/>
        <color theme="1"/>
        <name val="Calibri"/>
        <scheme val="minor"/>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font>
        <b val="0"/>
        <i/>
        <strike val="0"/>
        <condense val="0"/>
        <extend val="0"/>
        <outline val="0"/>
        <shadow val="0"/>
        <u val="none"/>
        <vertAlign val="baseline"/>
        <sz val="11"/>
        <color theme="1"/>
        <name val="Calibri"/>
        <scheme val="minor"/>
      </font>
      <border diagonalUp="0" diagonalDown="0" outline="0">
        <left style="thin">
          <color auto="1"/>
        </left>
        <right style="thin">
          <color auto="1"/>
        </right>
        <top/>
        <bottom/>
      </border>
    </dxf>
    <dxf>
      <font>
        <i/>
      </font>
      <border diagonalUp="0" diagonalDown="0">
        <left style="thin">
          <color auto="1"/>
        </left>
        <right style="thin">
          <color auto="1"/>
        </right>
        <top/>
        <bottom/>
        <vertical style="thin">
          <color auto="1"/>
        </vertical>
        <horizontal/>
      </border>
    </dxf>
    <dxf>
      <border diagonalUp="0" diagonalDown="0" outline="0">
        <left style="thin">
          <color auto="1"/>
        </left>
        <right style="thin">
          <color auto="1"/>
        </right>
        <top/>
        <bottom/>
      </border>
    </dxf>
    <dxf>
      <border diagonalUp="0" diagonalDown="0">
        <left style="thin">
          <color auto="1"/>
        </left>
        <right style="thin">
          <color auto="1"/>
        </right>
        <top/>
        <bottom/>
        <vertical style="thin">
          <color auto="1"/>
        </vertical>
        <horizontal/>
      </border>
    </dxf>
    <dxf>
      <alignment horizontal="general" vertical="center" textRotation="0" wrapText="1" indent="0" justifyLastLine="0" shrinkToFit="0" readingOrder="0"/>
    </dxf>
    <dxf>
      <font>
        <b val="0"/>
        <i val="0"/>
        <strike val="0"/>
        <condense val="0"/>
        <extend val="0"/>
        <outline val="0"/>
        <shadow val="0"/>
        <u val="none"/>
        <vertAlign val="baseline"/>
        <sz val="11"/>
        <color theme="1"/>
        <name val="Calibri"/>
        <scheme val="minor"/>
      </font>
      <border diagonalUp="0" diagonalDown="0">
        <left/>
        <right/>
        <top style="thin">
          <color theme="4" tint="0.39997558519241921"/>
        </top>
        <bottom style="thin">
          <color theme="4" tint="0.39997558519241921"/>
        </bottom>
        <vertical/>
        <horizontal/>
      </border>
    </dxf>
    <dxf>
      <font>
        <b val="0"/>
        <i val="0"/>
        <strike val="0"/>
        <condense val="0"/>
        <extend val="0"/>
        <outline val="0"/>
        <shadow val="0"/>
        <u val="none"/>
        <vertAlign val="baseline"/>
        <sz val="11"/>
        <color theme="1"/>
        <name val="Calibri"/>
        <scheme val="minor"/>
      </font>
      <border diagonalUp="0" diagonalDown="0">
        <left/>
        <right/>
        <top style="thin">
          <color theme="4" tint="0.39997558519241921"/>
        </top>
        <bottom style="thin">
          <color theme="4" tint="0.39997558519241921"/>
        </bottom>
        <vertical/>
        <horizontal/>
      </border>
    </dxf>
    <dxf>
      <border outline="0">
        <left style="thin">
          <color theme="4" tint="0.39997558519241921"/>
        </left>
      </border>
    </dxf>
    <dxf>
      <numFmt numFmtId="14" formatCode="0.00%"/>
    </dxf>
    <dxf>
      <numFmt numFmtId="14" formatCode="0.00%"/>
    </dxf>
    <dxf>
      <numFmt numFmtId="14" formatCode="0.00%"/>
    </dxf>
    <dxf>
      <numFmt numFmtId="14" formatCode="0.0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val="0"/>
        <i val="0"/>
        <strike val="0"/>
        <condense val="0"/>
        <extend val="0"/>
        <outline val="0"/>
        <shadow val="0"/>
        <u val="none"/>
        <vertAlign val="baseline"/>
        <sz val="11"/>
        <color theme="1"/>
        <name val="Calibri"/>
        <scheme val="minor"/>
      </font>
      <border diagonalUp="0" diagonalDown="0" outline="0">
        <left/>
        <right/>
        <top/>
        <bottom/>
      </border>
    </dxf>
    <dxf>
      <font>
        <b val="0"/>
        <i val="0"/>
        <strike val="0"/>
        <condense val="0"/>
        <extend val="0"/>
        <outline val="0"/>
        <shadow val="0"/>
        <u val="none"/>
        <vertAlign val="baseline"/>
        <sz val="11"/>
        <color theme="1"/>
        <name val="Calibri"/>
        <scheme val="minor"/>
      </font>
      <border diagonalUp="0" diagonalDown="0">
        <left/>
        <right/>
        <top style="thin">
          <color theme="4" tint="0.39997558519241921"/>
        </top>
        <bottom style="thin">
          <color theme="4" tint="0.39997558519241921"/>
        </bottom>
        <vertical/>
        <horizontal/>
      </border>
    </dxf>
    <dxf>
      <border outline="0">
        <left style="thin">
          <color theme="4" tint="0.39997558519241921"/>
        </left>
      </border>
    </dxf>
    <dxf>
      <font>
        <b/>
        <i val="0"/>
        <strike val="0"/>
        <condense val="0"/>
        <extend val="0"/>
        <outline val="0"/>
        <shadow val="0"/>
        <u val="none"/>
        <vertAlign val="baseline"/>
        <sz val="11"/>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indexed="64"/>
        </left>
        <right style="thin">
          <color indexed="64"/>
        </right>
        <top/>
        <bottom/>
      </border>
    </dxf>
    <dxf>
      <numFmt numFmtId="4" formatCode="#,##0.00"/>
      <fill>
        <patternFill patternType="none">
          <fgColor indexed="64"/>
          <bgColor auto="1"/>
        </patternFill>
      </fill>
      <border diagonalUp="0" diagonalDown="0">
        <left style="thin">
          <color auto="1"/>
        </left>
        <right/>
        <vertical style="thin">
          <color auto="1"/>
        </vertical>
      </border>
    </dxf>
    <dxf>
      <fill>
        <patternFill patternType="none">
          <fgColor indexed="64"/>
          <bgColor auto="1"/>
        </patternFill>
      </fill>
      <border diagonalUp="0" diagonalDown="0">
        <left style="thin">
          <color auto="1"/>
        </left>
        <right style="thin">
          <color auto="1"/>
        </right>
        <vertical style="thin">
          <color auto="1"/>
        </vertical>
      </border>
    </dxf>
    <dxf>
      <numFmt numFmtId="14" formatCode="0.00%"/>
      <fill>
        <patternFill patternType="none">
          <fgColor indexed="64"/>
          <bgColor indexed="65"/>
        </patternFill>
      </fill>
      <border diagonalUp="0" diagonalDown="0">
        <left style="thin">
          <color auto="1"/>
        </left>
        <right style="thin">
          <color auto="1"/>
        </right>
        <top/>
        <bottom/>
        <vertical/>
        <horizontal/>
      </border>
    </dxf>
    <dxf>
      <fill>
        <patternFill patternType="none">
          <fgColor indexed="64"/>
          <bgColor auto="1"/>
        </patternFill>
      </fill>
      <border diagonalUp="0" diagonalDown="0" outline="0">
        <left style="thin">
          <color auto="1"/>
        </left>
        <right style="thin">
          <color auto="1"/>
        </right>
      </border>
    </dxf>
    <dxf>
      <font>
        <b val="0"/>
        <i/>
        <strike val="0"/>
        <condense val="0"/>
        <extend val="0"/>
        <outline val="0"/>
        <shadow val="0"/>
        <u val="none"/>
        <vertAlign val="baseline"/>
        <sz val="11"/>
        <color theme="1"/>
        <name val="Calibri"/>
        <scheme val="minor"/>
      </font>
      <fill>
        <patternFill patternType="solid">
          <fgColor indexed="64"/>
          <bgColor theme="4" tint="0.79998168889431442"/>
        </patternFill>
      </fill>
      <border diagonalUp="0" diagonalDown="0" outline="0">
        <left style="thin">
          <color auto="1"/>
        </left>
        <right style="thin">
          <color auto="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numFmt numFmtId="3" formatCode="#,##0"/>
      <fill>
        <patternFill patternType="none">
          <fgColor indexed="64"/>
          <bgColor indexed="65"/>
        </patternFill>
      </fill>
      <border diagonalUp="0" diagonalDown="0">
        <left style="thin">
          <color auto="1"/>
        </left>
        <right style="thin">
          <color auto="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none">
          <fgColor indexed="64"/>
          <bgColor auto="1"/>
        </patternFill>
      </fill>
      <border diagonalUp="0" diagonalDown="0" outline="0">
        <left style="thin">
          <color auto="1"/>
        </left>
        <right style="thin">
          <color auto="1"/>
        </right>
        <top style="thin">
          <color theme="4" tint="0.39997558519241921"/>
        </top>
        <bottom style="thin">
          <color theme="4" tint="0.39997558519241921"/>
        </bottom>
      </border>
    </dxf>
    <dxf>
      <font>
        <b val="0"/>
        <i/>
        <strike val="0"/>
        <condense val="0"/>
        <extend val="0"/>
        <outline val="0"/>
        <shadow val="0"/>
        <u val="none"/>
        <vertAlign val="baseline"/>
        <sz val="11"/>
        <color theme="1"/>
        <name val="Calibri"/>
        <scheme val="minor"/>
      </font>
      <fill>
        <patternFill patternType="solid">
          <fgColor indexed="64"/>
          <bgColor theme="4" tint="0.79998168889431442"/>
        </patternFill>
      </fill>
      <border diagonalUp="0" diagonalDown="0" outline="0">
        <left style="thin">
          <color auto="1"/>
        </left>
        <right style="thin">
          <color auto="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numFmt numFmtId="3" formatCode="#,##0"/>
      <fill>
        <patternFill patternType="none">
          <fgColor indexed="64"/>
          <bgColor indexed="65"/>
        </patternFill>
      </fill>
      <border diagonalUp="0" diagonalDown="0">
        <left style="thin">
          <color auto="1"/>
        </left>
        <right style="thin">
          <color auto="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none">
          <fgColor indexed="64"/>
          <bgColor auto="1"/>
        </patternFill>
      </fill>
      <border diagonalUp="0" diagonalDown="0" outline="0">
        <left style="thin">
          <color auto="1"/>
        </left>
        <right style="thin">
          <color auto="1"/>
        </right>
        <top style="thin">
          <color theme="4" tint="0.39997558519241921"/>
        </top>
        <bottom style="thin">
          <color theme="4" tint="0.39997558519241921"/>
        </bottom>
      </border>
    </dxf>
    <dxf>
      <font>
        <b val="0"/>
        <i/>
        <strike val="0"/>
        <condense val="0"/>
        <extend val="0"/>
        <outline val="0"/>
        <shadow val="0"/>
        <u val="none"/>
        <vertAlign val="baseline"/>
        <sz val="11"/>
        <color theme="1"/>
        <name val="Calibri"/>
        <scheme val="minor"/>
      </font>
      <fill>
        <patternFill patternType="none">
          <fgColor indexed="64"/>
          <bgColor theme="4" tint="0.79998168889431442"/>
        </patternFill>
      </fill>
      <border diagonalUp="0" diagonalDown="0" outline="0">
        <left style="thin">
          <color auto="1"/>
        </left>
        <right style="thin">
          <color auto="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numFmt numFmtId="3" formatCode="#,##0"/>
      <fill>
        <patternFill patternType="none">
          <fgColor indexed="64"/>
          <bgColor indexed="65"/>
        </patternFill>
      </fill>
      <border diagonalUp="0" diagonalDown="0">
        <left style="thin">
          <color auto="1"/>
        </left>
        <right style="thin">
          <color auto="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none">
          <fgColor indexed="64"/>
          <bgColor auto="1"/>
        </patternFill>
      </fill>
      <border diagonalUp="0" diagonalDown="0" outline="0">
        <left style="thin">
          <color auto="1"/>
        </left>
        <right style="thin">
          <color auto="1"/>
        </right>
        <top style="thin">
          <color theme="4" tint="0.39997558519241921"/>
        </top>
        <bottom style="thin">
          <color theme="4" tint="0.39997558519241921"/>
        </bottom>
      </border>
    </dxf>
    <dxf>
      <font>
        <b val="0"/>
        <i/>
        <strike val="0"/>
        <condense val="0"/>
        <extend val="0"/>
        <outline val="0"/>
        <shadow val="0"/>
        <u val="none"/>
        <vertAlign val="baseline"/>
        <sz val="11"/>
        <color theme="1"/>
        <name val="Calibri"/>
        <scheme val="minor"/>
      </font>
      <fill>
        <patternFill patternType="solid">
          <fgColor indexed="64"/>
          <bgColor theme="4" tint="0.79998168889431442"/>
        </patternFill>
      </fill>
      <border diagonalUp="0" diagonalDown="0" outline="0">
        <left/>
        <right style="thin">
          <color auto="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numFmt numFmtId="3" formatCode="#,##0"/>
      <fill>
        <patternFill patternType="none">
          <fgColor indexed="64"/>
          <bgColor indexed="65"/>
        </patternFill>
      </fill>
      <border diagonalUp="0" diagonalDown="0" outline="0">
        <left style="thin">
          <color auto="1"/>
        </left>
        <right style="thin">
          <color auto="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none">
          <fgColor indexed="64"/>
          <bgColor auto="1"/>
        </patternFill>
      </fill>
      <border diagonalUp="0" diagonalDown="0" outline="0">
        <left style="thin">
          <color auto="1"/>
        </left>
        <right style="thin">
          <color auto="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none">
          <fgColor indexed="64"/>
          <bgColor auto="1"/>
        </patternFill>
      </fill>
      <border diagonalUp="0" diagonalDown="0" outline="0">
        <left style="thin">
          <color auto="1"/>
        </left>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Calibri"/>
        <scheme val="minor"/>
      </font>
      <fill>
        <patternFill patternType="none">
          <fgColor indexed="64"/>
          <bgColor auto="1"/>
        </patternFill>
      </fill>
      <border diagonalUp="0" diagonalDown="0">
        <left style="thin">
          <color auto="1"/>
        </left>
        <right style="thin">
          <color auto="1"/>
        </right>
        <top style="thin">
          <color theme="4" tint="0.39997558519241921"/>
        </top>
        <bottom style="thin">
          <color theme="4" tint="0.39997558519241921"/>
        </bottom>
        <vertical style="thin">
          <color auto="1"/>
        </vertical>
      </border>
    </dxf>
    <dxf>
      <font>
        <b val="0"/>
        <i val="0"/>
        <strike val="0"/>
        <condense val="0"/>
        <extend val="0"/>
        <outline val="0"/>
        <shadow val="0"/>
        <u val="none"/>
        <vertAlign val="baseline"/>
        <sz val="11"/>
        <color theme="1"/>
        <name val="Calibri"/>
        <scheme val="minor"/>
      </font>
      <fill>
        <patternFill patternType="none">
          <fgColor indexed="64"/>
          <bgColor auto="1"/>
        </patternFill>
      </fill>
      <border diagonalUp="0" diagonalDown="0">
        <left/>
        <right style="thin">
          <color auto="1"/>
        </right>
        <top style="thin">
          <color theme="4" tint="0.39997558519241921"/>
        </top>
        <bottom style="thin">
          <color theme="4" tint="0.39997558519241921"/>
        </bottom>
        <vertical style="thin">
          <color auto="1"/>
        </vertical>
      </border>
    </dxf>
    <dxf>
      <fill>
        <patternFill patternType="none">
          <fgColor indexed="64"/>
          <bgColor auto="1"/>
        </patternFill>
      </fill>
      <border diagonalUp="0" diagonalDown="0">
        <left style="thin">
          <color auto="1"/>
        </left>
        <right style="thin">
          <color auto="1"/>
        </right>
        <vertical style="thin">
          <color auto="1"/>
        </vertical>
      </border>
    </dxf>
    <dxf>
      <border diagonalUp="0" diagonalDown="0">
        <left style="thin">
          <color indexed="64"/>
        </left>
        <right style="thin">
          <color indexed="64"/>
        </right>
        <top style="thin">
          <color indexed="64"/>
        </top>
        <bottom style="thin">
          <color indexed="64"/>
        </bottom>
      </border>
    </dxf>
    <dxf>
      <fill>
        <patternFill patternType="none">
          <fgColor indexed="64"/>
          <bgColor auto="1"/>
        </patternFill>
      </fill>
    </dxf>
    <dxf>
      <fill>
        <patternFill patternType="none">
          <fgColor indexed="64"/>
          <bgColor auto="1"/>
        </patternFill>
      </fill>
      <border diagonalUp="0" diagonalDown="0">
        <left style="thin">
          <color auto="1"/>
        </left>
        <right style="thin">
          <color auto="1"/>
        </right>
        <vertical style="thin">
          <color auto="1"/>
        </vertical>
      </border>
    </dxf>
    <dxf>
      <numFmt numFmtId="3" formatCode="#,##0"/>
    </dxf>
    <dxf>
      <numFmt numFmtId="3" formatCode="#,##0"/>
    </dxf>
    <dxf>
      <numFmt numFmtId="3" formatCode="#,##0"/>
    </dxf>
    <dxf>
      <numFmt numFmtId="3" formatCode="#,##0"/>
    </dxf>
    <dxf>
      <border diagonalUp="0" diagonalDown="0">
        <left style="double">
          <color auto="1"/>
        </left>
        <right/>
        <top/>
        <bottom/>
        <vertical/>
        <horizontal/>
      </border>
    </dxf>
    <dxf>
      <numFmt numFmtId="3" formatCode="#,##0"/>
    </dxf>
    <dxf>
      <alignment horizontal="center" vertical="center" textRotation="0" wrapText="1" indent="0" justifyLastLine="0" shrinkToFit="0" readingOrder="0"/>
    </dxf>
    <dxf>
      <fill>
        <patternFill patternType="none">
          <fgColor indexed="64"/>
          <bgColor auto="1"/>
        </patternFill>
      </fill>
    </dxf>
    <dxf>
      <border outline="0">
        <left style="thin">
          <color indexed="64"/>
        </left>
      </border>
    </dxf>
  </dxfs>
  <tableStyles count="0" defaultTableStyle="TableStyleMedium2" defaultPivotStyle="PivotStyleLight16"/>
  <colors>
    <mruColors>
      <color rgb="FFFC92BA"/>
      <color rgb="FF994EC2"/>
      <color rgb="FF29C7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hartsheet" Target="chartsheets/sheet1.xml"/><Relationship Id="rId13" Type="http://schemas.openxmlformats.org/officeDocument/2006/relationships/worksheet" Target="worksheets/sheet11.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0.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pivotCacheDefinition" Target="pivotCache/pivotCacheDefinition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9.xml"/><Relationship Id="rId5" Type="http://schemas.openxmlformats.org/officeDocument/2006/relationships/worksheet" Target="worksheets/sheet5.xml"/><Relationship Id="rId15" Type="http://schemas.openxmlformats.org/officeDocument/2006/relationships/worksheet" Target="worksheets/sheet13.xml"/><Relationship Id="rId10" Type="http://schemas.openxmlformats.org/officeDocument/2006/relationships/worksheet" Target="worksheets/sheet8.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chartsheet" Target="chartsheets/sheet2.xml"/><Relationship Id="rId14" Type="http://schemas.openxmlformats.org/officeDocument/2006/relationships/worksheet" Target="worksheets/sheet1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[Uninsured by Zip.xlsx]PivotTables!PivotTable2</c:name>
    <c:fmtId val="0"/>
  </c:pivotSource>
  <c:chart>
    <c:title>
      <c:tx>
        <c:rich>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r>
              <a:rPr lang="en-US"/>
              <a:t>Uninsured Persons by Zipcode</a:t>
            </a:r>
          </a:p>
        </c:rich>
      </c:tx>
      <c:overlay val="0"/>
      <c:spPr>
        <a:noFill/>
        <a:ln>
          <a:noFill/>
        </a:ln>
        <a:effectLst/>
      </c:spPr>
      <c:txPr>
        <a:bodyPr rot="0" spcFirstLastPara="1" vertOverflow="ellipsis" vert="horz" wrap="square" anchor="ctr" anchorCtr="1"/>
        <a:lstStyle/>
        <a:p>
          <a:pPr>
            <a:defRPr sz="1400" b="1" i="0" u="none" strike="noStrike" kern="1200" cap="none" baseline="0">
              <a:solidFill>
                <a:schemeClr val="lt1">
                  <a:lumMod val="85000"/>
                </a:schemeClr>
              </a:solidFill>
              <a:latin typeface="+mn-lt"/>
              <a:ea typeface="+mn-ea"/>
              <a:cs typeface="+mn-cs"/>
            </a:defRPr>
          </a:pPr>
          <a:endParaRPr lang="en-US"/>
        </a:p>
      </c:txPr>
    </c:title>
    <c:autoTitleDeleted val="0"/>
    <c:pivotFmts>
      <c:pivotFmt>
        <c:idx val="0"/>
      </c:pivotFmt>
      <c:pivotFmt>
        <c:idx val="1"/>
      </c:pivotFmt>
      <c:pivotFmt>
        <c:idx val="2"/>
      </c:pivotFmt>
      <c:pivotFmt>
        <c:idx val="3"/>
      </c:pivotFmt>
      <c:pivotFmt>
        <c:idx val="4"/>
      </c:pivotFmt>
      <c:pivotFmt>
        <c:idx val="5"/>
        <c:spPr>
          <a:noFill/>
          <a:ln w="9525" cap="flat" cmpd="sng" algn="ctr">
            <a:solidFill>
              <a:schemeClr val="accent6"/>
            </a:solidFill>
            <a:miter lim="800000"/>
          </a:ln>
          <a:effectLst>
            <a:glow rad="63500">
              <a:schemeClr val="accent6">
                <a:satMod val="175000"/>
                <a:alpha val="25000"/>
              </a:schemeClr>
            </a:glow>
          </a:effectLst>
        </c:spPr>
        <c:marker>
          <c:symbol val="none"/>
        </c:marker>
      </c:pivotFmt>
      <c:pivotFmt>
        <c:idx val="6"/>
        <c:spPr>
          <a:noFill/>
          <a:ln w="9525" cap="flat" cmpd="sng" algn="ctr">
            <a:solidFill>
              <a:schemeClr val="accent6"/>
            </a:solidFill>
            <a:miter lim="800000"/>
          </a:ln>
          <a:effectLst>
            <a:glow rad="63500">
              <a:schemeClr val="accent6">
                <a:satMod val="175000"/>
                <a:alpha val="25000"/>
              </a:schemeClr>
            </a:glow>
          </a:effectLst>
        </c:spPr>
        <c:marker>
          <c:symbol val="none"/>
        </c:marker>
      </c:pivotFmt>
      <c:pivotFmt>
        <c:idx val="7"/>
        <c:spPr>
          <a:noFill/>
          <a:ln w="9525" cap="flat" cmpd="sng" algn="ctr">
            <a:solidFill>
              <a:schemeClr val="accent6"/>
            </a:solidFill>
            <a:miter lim="800000"/>
          </a:ln>
          <a:effectLst>
            <a:glow rad="63500">
              <a:schemeClr val="accent6">
                <a:satMod val="175000"/>
                <a:alpha val="25000"/>
              </a:schemeClr>
            </a:glow>
          </a:effectLst>
        </c:spPr>
        <c:marker>
          <c:symbol val="none"/>
        </c:marker>
      </c:pivotFmt>
      <c:pivotFmt>
        <c:idx val="8"/>
        <c:spPr>
          <a:noFill/>
          <a:ln w="9525" cap="flat" cmpd="sng" algn="ctr">
            <a:solidFill>
              <a:schemeClr val="accent6"/>
            </a:solidFill>
            <a:miter lim="800000"/>
          </a:ln>
          <a:effectLst>
            <a:glow rad="63500">
              <a:schemeClr val="accent6">
                <a:satMod val="175000"/>
                <a:alpha val="25000"/>
              </a:schemeClr>
            </a:glow>
          </a:effectLst>
        </c:spPr>
        <c:marker>
          <c:symbol val="none"/>
        </c:marker>
      </c:pivotFmt>
    </c:pivotFmts>
    <c:plotArea>
      <c:layout>
        <c:manualLayout>
          <c:layoutTarget val="inner"/>
          <c:xMode val="edge"/>
          <c:yMode val="edge"/>
          <c:x val="8.4458049865689416E-2"/>
          <c:y val="7.9826332794830368E-2"/>
          <c:w val="0.76168040542411686"/>
          <c:h val="0.87332740768066353"/>
        </c:manualLayout>
      </c:layout>
      <c:barChart>
        <c:barDir val="bar"/>
        <c:grouping val="clustered"/>
        <c:varyColors val="0"/>
        <c:ser>
          <c:idx val="0"/>
          <c:order val="0"/>
          <c:tx>
            <c:strRef>
              <c:f>PivotTables!$F$4</c:f>
              <c:strCache>
                <c:ptCount val="1"/>
                <c:pt idx="0">
                  <c:v>Sum of Adjusted Below 138% of FPL - Uninsured</c:v>
                </c:pt>
              </c:strCache>
            </c:strRef>
          </c:tx>
          <c:spPr>
            <a:noFill/>
            <a:ln w="9525" cap="flat" cmpd="sng" algn="ctr">
              <a:solidFill>
                <a:schemeClr val="accent6"/>
              </a:solidFill>
              <a:miter lim="800000"/>
            </a:ln>
            <a:effectLst>
              <a:glow rad="63500">
                <a:schemeClr val="accent6">
                  <a:satMod val="175000"/>
                  <a:alpha val="25000"/>
                </a:schemeClr>
              </a:glow>
            </a:effectLst>
          </c:spPr>
          <c:invertIfNegative val="0"/>
          <c:cat>
            <c:strRef>
              <c:f>PivotTables!$E$5:$E$26</c:f>
              <c:strCache>
                <c:ptCount val="21"/>
                <c:pt idx="0">
                  <c:v>21030</c:v>
                </c:pt>
                <c:pt idx="1">
                  <c:v>21053</c:v>
                </c:pt>
                <c:pt idx="2">
                  <c:v>21093</c:v>
                </c:pt>
                <c:pt idx="3">
                  <c:v>21117</c:v>
                </c:pt>
                <c:pt idx="4">
                  <c:v>21133</c:v>
                </c:pt>
                <c:pt idx="5">
                  <c:v>21136</c:v>
                </c:pt>
                <c:pt idx="6">
                  <c:v>21152</c:v>
                </c:pt>
                <c:pt idx="7">
                  <c:v>21204</c:v>
                </c:pt>
                <c:pt idx="8">
                  <c:v>21207</c:v>
                </c:pt>
                <c:pt idx="9">
                  <c:v>21208</c:v>
                </c:pt>
                <c:pt idx="10">
                  <c:v>21219</c:v>
                </c:pt>
                <c:pt idx="11">
                  <c:v>21220</c:v>
                </c:pt>
                <c:pt idx="12">
                  <c:v>21221</c:v>
                </c:pt>
                <c:pt idx="13">
                  <c:v>21222</c:v>
                </c:pt>
                <c:pt idx="14">
                  <c:v>21227</c:v>
                </c:pt>
                <c:pt idx="15">
                  <c:v>21228</c:v>
                </c:pt>
                <c:pt idx="16">
                  <c:v>21234</c:v>
                </c:pt>
                <c:pt idx="17">
                  <c:v>21236</c:v>
                </c:pt>
                <c:pt idx="18">
                  <c:v>21237</c:v>
                </c:pt>
                <c:pt idx="19">
                  <c:v>21244</c:v>
                </c:pt>
                <c:pt idx="20">
                  <c:v>21286</c:v>
                </c:pt>
              </c:strCache>
            </c:strRef>
          </c:cat>
          <c:val>
            <c:numRef>
              <c:f>PivotTables!$F$5:$F$26</c:f>
              <c:numCache>
                <c:formatCode>General</c:formatCode>
                <c:ptCount val="21"/>
                <c:pt idx="0">
                  <c:v>498.30337887367193</c:v>
                </c:pt>
                <c:pt idx="1">
                  <c:v>70</c:v>
                </c:pt>
                <c:pt idx="2">
                  <c:v>185.28784438806647</c:v>
                </c:pt>
                <c:pt idx="3">
                  <c:v>749.61393572058364</c:v>
                </c:pt>
                <c:pt idx="4">
                  <c:v>247.42211780526446</c:v>
                </c:pt>
                <c:pt idx="5">
                  <c:v>636.91337816090424</c:v>
                </c:pt>
                <c:pt idx="6">
                  <c:v>25</c:v>
                </c:pt>
                <c:pt idx="7">
                  <c:v>212.99999999999997</c:v>
                </c:pt>
                <c:pt idx="8">
                  <c:v>689.82403682427866</c:v>
                </c:pt>
                <c:pt idx="9">
                  <c:v>285.01576933814283</c:v>
                </c:pt>
                <c:pt idx="10">
                  <c:v>88</c:v>
                </c:pt>
                <c:pt idx="11">
                  <c:v>674.79973796657225</c:v>
                </c:pt>
                <c:pt idx="12">
                  <c:v>762.90580321667528</c:v>
                </c:pt>
                <c:pt idx="13">
                  <c:v>1238.522393642884</c:v>
                </c:pt>
                <c:pt idx="14">
                  <c:v>632.0832863012771</c:v>
                </c:pt>
                <c:pt idx="15">
                  <c:v>486.59448755188686</c:v>
                </c:pt>
                <c:pt idx="16">
                  <c:v>791.90480697153316</c:v>
                </c:pt>
                <c:pt idx="17">
                  <c:v>376.60302959792472</c:v>
                </c:pt>
                <c:pt idx="18">
                  <c:v>450.16434456815733</c:v>
                </c:pt>
                <c:pt idx="19">
                  <c:v>592.30588481069401</c:v>
                </c:pt>
                <c:pt idx="20">
                  <c:v>263</c:v>
                </c:pt>
              </c:numCache>
            </c:numRef>
          </c:val>
        </c:ser>
        <c:ser>
          <c:idx val="1"/>
          <c:order val="1"/>
          <c:tx>
            <c:strRef>
              <c:f>PivotTables!$G$4</c:f>
              <c:strCache>
                <c:ptCount val="1"/>
                <c:pt idx="0">
                  <c:v>Sum of Adjusted 138 to 199% of FPL - Uninsured</c:v>
                </c:pt>
              </c:strCache>
            </c:strRef>
          </c:tx>
          <c:spPr>
            <a:noFill/>
            <a:ln w="9525" cap="flat" cmpd="sng" algn="ctr">
              <a:solidFill>
                <a:schemeClr val="accent5"/>
              </a:solidFill>
              <a:miter lim="800000"/>
            </a:ln>
            <a:effectLst>
              <a:glow rad="63500">
                <a:schemeClr val="accent5">
                  <a:satMod val="175000"/>
                  <a:alpha val="25000"/>
                </a:schemeClr>
              </a:glow>
            </a:effectLst>
          </c:spPr>
          <c:invertIfNegative val="0"/>
          <c:cat>
            <c:strRef>
              <c:f>PivotTables!$E$5:$E$26</c:f>
              <c:strCache>
                <c:ptCount val="21"/>
                <c:pt idx="0">
                  <c:v>21030</c:v>
                </c:pt>
                <c:pt idx="1">
                  <c:v>21053</c:v>
                </c:pt>
                <c:pt idx="2">
                  <c:v>21093</c:v>
                </c:pt>
                <c:pt idx="3">
                  <c:v>21117</c:v>
                </c:pt>
                <c:pt idx="4">
                  <c:v>21133</c:v>
                </c:pt>
                <c:pt idx="5">
                  <c:v>21136</c:v>
                </c:pt>
                <c:pt idx="6">
                  <c:v>21152</c:v>
                </c:pt>
                <c:pt idx="7">
                  <c:v>21204</c:v>
                </c:pt>
                <c:pt idx="8">
                  <c:v>21207</c:v>
                </c:pt>
                <c:pt idx="9">
                  <c:v>21208</c:v>
                </c:pt>
                <c:pt idx="10">
                  <c:v>21219</c:v>
                </c:pt>
                <c:pt idx="11">
                  <c:v>21220</c:v>
                </c:pt>
                <c:pt idx="12">
                  <c:v>21221</c:v>
                </c:pt>
                <c:pt idx="13">
                  <c:v>21222</c:v>
                </c:pt>
                <c:pt idx="14">
                  <c:v>21227</c:v>
                </c:pt>
                <c:pt idx="15">
                  <c:v>21228</c:v>
                </c:pt>
                <c:pt idx="16">
                  <c:v>21234</c:v>
                </c:pt>
                <c:pt idx="17">
                  <c:v>21236</c:v>
                </c:pt>
                <c:pt idx="18">
                  <c:v>21237</c:v>
                </c:pt>
                <c:pt idx="19">
                  <c:v>21244</c:v>
                </c:pt>
                <c:pt idx="20">
                  <c:v>21286</c:v>
                </c:pt>
              </c:strCache>
            </c:strRef>
          </c:cat>
          <c:val>
            <c:numRef>
              <c:f>PivotTables!$G$5:$G$26</c:f>
              <c:numCache>
                <c:formatCode>General</c:formatCode>
                <c:ptCount val="21"/>
                <c:pt idx="0">
                  <c:v>243.44592555660307</c:v>
                </c:pt>
                <c:pt idx="1">
                  <c:v>0</c:v>
                </c:pt>
                <c:pt idx="2">
                  <c:v>113.44153738044886</c:v>
                </c:pt>
                <c:pt idx="3">
                  <c:v>419.11115646845406</c:v>
                </c:pt>
                <c:pt idx="4">
                  <c:v>175.22599832409307</c:v>
                </c:pt>
                <c:pt idx="5">
                  <c:v>300.24934871231409</c:v>
                </c:pt>
                <c:pt idx="6">
                  <c:v>63</c:v>
                </c:pt>
                <c:pt idx="7">
                  <c:v>170</c:v>
                </c:pt>
                <c:pt idx="8">
                  <c:v>291.68035383690426</c:v>
                </c:pt>
                <c:pt idx="9">
                  <c:v>157.78927878570499</c:v>
                </c:pt>
                <c:pt idx="10">
                  <c:v>0</c:v>
                </c:pt>
                <c:pt idx="11">
                  <c:v>442.88098744389941</c:v>
                </c:pt>
                <c:pt idx="12">
                  <c:v>379.6136880036687</c:v>
                </c:pt>
                <c:pt idx="13">
                  <c:v>533.88442736201387</c:v>
                </c:pt>
                <c:pt idx="14">
                  <c:v>449.11180868774949</c:v>
                </c:pt>
                <c:pt idx="15">
                  <c:v>288.37879188736827</c:v>
                </c:pt>
                <c:pt idx="16">
                  <c:v>571.09959141708873</c:v>
                </c:pt>
                <c:pt idx="17">
                  <c:v>149.76026907987651</c:v>
                </c:pt>
                <c:pt idx="18">
                  <c:v>880.48861923893389</c:v>
                </c:pt>
                <c:pt idx="19">
                  <c:v>477.44282770955476</c:v>
                </c:pt>
                <c:pt idx="20">
                  <c:v>54</c:v>
                </c:pt>
              </c:numCache>
            </c:numRef>
          </c:val>
        </c:ser>
        <c:ser>
          <c:idx val="2"/>
          <c:order val="2"/>
          <c:tx>
            <c:strRef>
              <c:f>PivotTables!$H$4</c:f>
              <c:strCache>
                <c:ptCount val="1"/>
                <c:pt idx="0">
                  <c:v>Sum of Adjusted 200 to 399% of FPL - Uninsured</c:v>
                </c:pt>
              </c:strCache>
            </c:strRef>
          </c:tx>
          <c:spPr>
            <a:noFill/>
            <a:ln w="9525" cap="flat" cmpd="sng" algn="ctr">
              <a:solidFill>
                <a:schemeClr val="accent4"/>
              </a:solidFill>
              <a:miter lim="800000"/>
            </a:ln>
            <a:effectLst>
              <a:glow rad="63500">
                <a:schemeClr val="accent4">
                  <a:satMod val="175000"/>
                  <a:alpha val="25000"/>
                </a:schemeClr>
              </a:glow>
            </a:effectLst>
          </c:spPr>
          <c:invertIfNegative val="0"/>
          <c:cat>
            <c:strRef>
              <c:f>PivotTables!$E$5:$E$26</c:f>
              <c:strCache>
                <c:ptCount val="21"/>
                <c:pt idx="0">
                  <c:v>21030</c:v>
                </c:pt>
                <c:pt idx="1">
                  <c:v>21053</c:v>
                </c:pt>
                <c:pt idx="2">
                  <c:v>21093</c:v>
                </c:pt>
                <c:pt idx="3">
                  <c:v>21117</c:v>
                </c:pt>
                <c:pt idx="4">
                  <c:v>21133</c:v>
                </c:pt>
                <c:pt idx="5">
                  <c:v>21136</c:v>
                </c:pt>
                <c:pt idx="6">
                  <c:v>21152</c:v>
                </c:pt>
                <c:pt idx="7">
                  <c:v>21204</c:v>
                </c:pt>
                <c:pt idx="8">
                  <c:v>21207</c:v>
                </c:pt>
                <c:pt idx="9">
                  <c:v>21208</c:v>
                </c:pt>
                <c:pt idx="10">
                  <c:v>21219</c:v>
                </c:pt>
                <c:pt idx="11">
                  <c:v>21220</c:v>
                </c:pt>
                <c:pt idx="12">
                  <c:v>21221</c:v>
                </c:pt>
                <c:pt idx="13">
                  <c:v>21222</c:v>
                </c:pt>
                <c:pt idx="14">
                  <c:v>21227</c:v>
                </c:pt>
                <c:pt idx="15">
                  <c:v>21228</c:v>
                </c:pt>
                <c:pt idx="16">
                  <c:v>21234</c:v>
                </c:pt>
                <c:pt idx="17">
                  <c:v>21236</c:v>
                </c:pt>
                <c:pt idx="18">
                  <c:v>21237</c:v>
                </c:pt>
                <c:pt idx="19">
                  <c:v>21244</c:v>
                </c:pt>
                <c:pt idx="20">
                  <c:v>21286</c:v>
                </c:pt>
              </c:strCache>
            </c:strRef>
          </c:cat>
          <c:val>
            <c:numRef>
              <c:f>PivotTables!$H$5:$H$26</c:f>
              <c:numCache>
                <c:formatCode>General</c:formatCode>
                <c:ptCount val="21"/>
                <c:pt idx="0">
                  <c:v>445.04958265816504</c:v>
                </c:pt>
                <c:pt idx="1">
                  <c:v>199.99999999999997</c:v>
                </c:pt>
                <c:pt idx="2">
                  <c:v>254.86532064807511</c:v>
                </c:pt>
                <c:pt idx="3">
                  <c:v>1296.7868344432875</c:v>
                </c:pt>
                <c:pt idx="4">
                  <c:v>454.23391840237002</c:v>
                </c:pt>
                <c:pt idx="5">
                  <c:v>573.70298895831183</c:v>
                </c:pt>
                <c:pt idx="6">
                  <c:v>60</c:v>
                </c:pt>
                <c:pt idx="7">
                  <c:v>83</c:v>
                </c:pt>
                <c:pt idx="8">
                  <c:v>1250.5795170757269</c:v>
                </c:pt>
                <c:pt idx="9">
                  <c:v>628.31406507460918</c:v>
                </c:pt>
                <c:pt idx="10">
                  <c:v>193</c:v>
                </c:pt>
                <c:pt idx="11">
                  <c:v>849.43735131195842</c:v>
                </c:pt>
                <c:pt idx="12">
                  <c:v>1121.1846134061843</c:v>
                </c:pt>
                <c:pt idx="13">
                  <c:v>999.91482834142539</c:v>
                </c:pt>
                <c:pt idx="14">
                  <c:v>664.6577539067157</c:v>
                </c:pt>
                <c:pt idx="15">
                  <c:v>735.61637235785247</c:v>
                </c:pt>
                <c:pt idx="16">
                  <c:v>1148.9356131392283</c:v>
                </c:pt>
                <c:pt idx="17">
                  <c:v>416.24545376612735</c:v>
                </c:pt>
                <c:pt idx="18">
                  <c:v>439.90223944882246</c:v>
                </c:pt>
                <c:pt idx="19">
                  <c:v>858.01319762296805</c:v>
                </c:pt>
                <c:pt idx="20">
                  <c:v>155</c:v>
                </c:pt>
              </c:numCache>
            </c:numRef>
          </c:val>
        </c:ser>
        <c:ser>
          <c:idx val="3"/>
          <c:order val="3"/>
          <c:tx>
            <c:strRef>
              <c:f>PivotTables!$I$4</c:f>
              <c:strCache>
                <c:ptCount val="1"/>
                <c:pt idx="0">
                  <c:v>Sum of Adjusted 400% FPL and over - Uninsured</c:v>
                </c:pt>
              </c:strCache>
            </c:strRef>
          </c:tx>
          <c:spPr>
            <a:noFill/>
            <a:ln w="9525" cap="flat" cmpd="sng" algn="ctr">
              <a:solidFill>
                <a:schemeClr val="accent6">
                  <a:lumMod val="60000"/>
                </a:schemeClr>
              </a:solidFill>
              <a:miter lim="800000"/>
            </a:ln>
            <a:effectLst>
              <a:glow rad="63500">
                <a:schemeClr val="accent6">
                  <a:lumMod val="60000"/>
                  <a:satMod val="175000"/>
                  <a:alpha val="25000"/>
                </a:schemeClr>
              </a:glow>
            </a:effectLst>
          </c:spPr>
          <c:invertIfNegative val="0"/>
          <c:cat>
            <c:strRef>
              <c:f>PivotTables!$E$5:$E$26</c:f>
              <c:strCache>
                <c:ptCount val="21"/>
                <c:pt idx="0">
                  <c:v>21030</c:v>
                </c:pt>
                <c:pt idx="1">
                  <c:v>21053</c:v>
                </c:pt>
                <c:pt idx="2">
                  <c:v>21093</c:v>
                </c:pt>
                <c:pt idx="3">
                  <c:v>21117</c:v>
                </c:pt>
                <c:pt idx="4">
                  <c:v>21133</c:v>
                </c:pt>
                <c:pt idx="5">
                  <c:v>21136</c:v>
                </c:pt>
                <c:pt idx="6">
                  <c:v>21152</c:v>
                </c:pt>
                <c:pt idx="7">
                  <c:v>21204</c:v>
                </c:pt>
                <c:pt idx="8">
                  <c:v>21207</c:v>
                </c:pt>
                <c:pt idx="9">
                  <c:v>21208</c:v>
                </c:pt>
                <c:pt idx="10">
                  <c:v>21219</c:v>
                </c:pt>
                <c:pt idx="11">
                  <c:v>21220</c:v>
                </c:pt>
                <c:pt idx="12">
                  <c:v>21221</c:v>
                </c:pt>
                <c:pt idx="13">
                  <c:v>21222</c:v>
                </c:pt>
                <c:pt idx="14">
                  <c:v>21227</c:v>
                </c:pt>
                <c:pt idx="15">
                  <c:v>21228</c:v>
                </c:pt>
                <c:pt idx="16">
                  <c:v>21234</c:v>
                </c:pt>
                <c:pt idx="17">
                  <c:v>21236</c:v>
                </c:pt>
                <c:pt idx="18">
                  <c:v>21237</c:v>
                </c:pt>
                <c:pt idx="19">
                  <c:v>21244</c:v>
                </c:pt>
                <c:pt idx="20">
                  <c:v>21286</c:v>
                </c:pt>
              </c:strCache>
            </c:strRef>
          </c:cat>
          <c:val>
            <c:numRef>
              <c:f>PivotTables!$I$5:$I$26</c:f>
              <c:numCache>
                <c:formatCode>General</c:formatCode>
                <c:ptCount val="21"/>
                <c:pt idx="0">
                  <c:v>282.75229895376293</c:v>
                </c:pt>
                <c:pt idx="1">
                  <c:v>117</c:v>
                </c:pt>
                <c:pt idx="2">
                  <c:v>231.42073625611567</c:v>
                </c:pt>
                <c:pt idx="3">
                  <c:v>431.39990951305373</c:v>
                </c:pt>
                <c:pt idx="4">
                  <c:v>306.08146488371619</c:v>
                </c:pt>
                <c:pt idx="5">
                  <c:v>390.2554463812229</c:v>
                </c:pt>
                <c:pt idx="6">
                  <c:v>178</c:v>
                </c:pt>
                <c:pt idx="7">
                  <c:v>250</c:v>
                </c:pt>
                <c:pt idx="8">
                  <c:v>360.95443787316901</c:v>
                </c:pt>
                <c:pt idx="9">
                  <c:v>137.88792830822871</c:v>
                </c:pt>
                <c:pt idx="10">
                  <c:v>103</c:v>
                </c:pt>
                <c:pt idx="11">
                  <c:v>636.37946303058732</c:v>
                </c:pt>
                <c:pt idx="12">
                  <c:v>609.14754586635206</c:v>
                </c:pt>
                <c:pt idx="13">
                  <c:v>530.15618415417862</c:v>
                </c:pt>
                <c:pt idx="14">
                  <c:v>315.34856937179939</c:v>
                </c:pt>
                <c:pt idx="15">
                  <c:v>490.88796832440352</c:v>
                </c:pt>
                <c:pt idx="16">
                  <c:v>651.93675507769899</c:v>
                </c:pt>
                <c:pt idx="17">
                  <c:v>383.21010029262516</c:v>
                </c:pt>
                <c:pt idx="18">
                  <c:v>351.64813542254234</c:v>
                </c:pt>
                <c:pt idx="19">
                  <c:v>265.70731281227398</c:v>
                </c:pt>
                <c:pt idx="20">
                  <c:v>108</c:v>
                </c:pt>
              </c:numCache>
            </c:numRef>
          </c:val>
        </c:ser>
        <c:dLbls>
          <c:showLegendKey val="0"/>
          <c:showVal val="0"/>
          <c:showCatName val="0"/>
          <c:showSerName val="0"/>
          <c:showPercent val="0"/>
          <c:showBubbleSize val="0"/>
        </c:dLbls>
        <c:gapWidth val="182"/>
        <c:overlap val="-50"/>
        <c:axId val="-1075823008"/>
        <c:axId val="-1075828992"/>
      </c:barChart>
      <c:catAx>
        <c:axId val="-1075823008"/>
        <c:scaling>
          <c:orientation val="minMax"/>
        </c:scaling>
        <c:delete val="0"/>
        <c:axPos val="l"/>
        <c:majorGridlines>
          <c:spPr>
            <a:ln w="9525" cap="flat" cmpd="sng" algn="ctr">
              <a:gradFill>
                <a:gsLst>
                  <a:gs pos="0">
                    <a:schemeClr val="dk1">
                      <a:lumMod val="65000"/>
                      <a:lumOff val="35000"/>
                    </a:schemeClr>
                  </a:gs>
                  <a:gs pos="100000">
                    <a:schemeClr val="dk1">
                      <a:lumMod val="75000"/>
                      <a:lumOff val="25000"/>
                    </a:schemeClr>
                  </a:gs>
                </a:gsLst>
                <a:lin ang="10800000" scaled="0"/>
              </a:gradFill>
              <a:round/>
            </a:ln>
            <a:effectLst/>
          </c:spPr>
        </c:majorGridlines>
        <c:title>
          <c:tx>
            <c:rich>
              <a:bodyPr rot="-5400000" spcFirstLastPara="1" vertOverflow="ellipsis" vert="horz" wrap="square" anchor="ctr" anchorCtr="1"/>
              <a:lstStyle/>
              <a:p>
                <a:pPr>
                  <a:defRPr sz="900" b="1" i="0" u="none" strike="noStrike" kern="1200" baseline="0">
                    <a:solidFill>
                      <a:schemeClr val="lt1">
                        <a:lumMod val="75000"/>
                      </a:schemeClr>
                    </a:solidFill>
                    <a:latin typeface="+mn-lt"/>
                    <a:ea typeface="+mn-ea"/>
                    <a:cs typeface="+mn-cs"/>
                  </a:defRPr>
                </a:pPr>
                <a:r>
                  <a:rPr lang="en-US"/>
                  <a:t>zip codes</a:t>
                </a:r>
              </a:p>
            </c:rich>
          </c:tx>
          <c:overlay val="0"/>
          <c:spPr>
            <a:noFill/>
            <a:ln>
              <a:noFill/>
            </a:ln>
            <a:effectLst/>
          </c:spPr>
          <c:txPr>
            <a:bodyPr rot="-5400000" spcFirstLastPara="1" vertOverflow="ellipsis" vert="horz" wrap="square" anchor="ctr" anchorCtr="1"/>
            <a:lstStyle/>
            <a:p>
              <a:pPr>
                <a:defRPr sz="900" b="1" i="0" u="none" strike="noStrike" kern="1200" baseline="0">
                  <a:solidFill>
                    <a:schemeClr val="lt1">
                      <a:lumMod val="7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n-US"/>
          </a:p>
        </c:txPr>
        <c:crossAx val="-1075828992"/>
        <c:crosses val="autoZero"/>
        <c:auto val="1"/>
        <c:lblAlgn val="ctr"/>
        <c:lblOffset val="100"/>
        <c:noMultiLvlLbl val="0"/>
      </c:catAx>
      <c:valAx>
        <c:axId val="-1075828992"/>
        <c:scaling>
          <c:orientation val="minMax"/>
        </c:scaling>
        <c:delete val="0"/>
        <c:axPos val="b"/>
        <c:majorGridlines>
          <c:spPr>
            <a:ln w="9525" cap="flat" cmpd="sng" algn="ctr">
              <a:gradFill>
                <a:gsLst>
                  <a:gs pos="0">
                    <a:schemeClr val="dk1">
                      <a:lumMod val="65000"/>
                      <a:lumOff val="35000"/>
                    </a:schemeClr>
                  </a:gs>
                  <a:gs pos="100000">
                    <a:schemeClr val="dk1">
                      <a:lumMod val="75000"/>
                      <a:lumOff val="25000"/>
                    </a:schemeClr>
                  </a:gs>
                </a:gsLst>
                <a:lin ang="10800000" scaled="0"/>
              </a:gra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n-US"/>
          </a:p>
        </c:txPr>
        <c:crossAx val="-1075823008"/>
        <c:crosses val="autoZero"/>
        <c:crossBetween val="between"/>
      </c:valAx>
      <c:spPr>
        <a:noFill/>
        <a:ln>
          <a:noFill/>
        </a:ln>
        <a:effectLst/>
      </c:spPr>
    </c:plotArea>
    <c:legend>
      <c:legendPos val="r"/>
      <c:layout>
        <c:manualLayout>
          <c:xMode val="edge"/>
          <c:yMode val="edge"/>
          <c:x val="0.85053997572877826"/>
          <c:y val="0.13351115591568827"/>
          <c:w val="0.14946002427122176"/>
          <c:h val="0.43768594282961437"/>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75000"/>
                </a:schemeClr>
              </a:solidFill>
              <a:latin typeface="+mn-lt"/>
              <a:ea typeface="+mn-ea"/>
              <a:cs typeface="+mn-cs"/>
            </a:defRPr>
          </a:pPr>
          <a:endParaRPr lang="en-US"/>
        </a:p>
      </c:txPr>
    </c:legend>
    <c:plotVisOnly val="1"/>
    <c:dispBlanksAs val="gap"/>
    <c:showDLblsOverMax val="0"/>
  </c:chart>
  <c:spPr>
    <a:solidFill>
      <a:schemeClr val="dk1">
        <a:lumMod val="75000"/>
        <a:lumOff val="25000"/>
      </a:schemeClr>
    </a:solidFill>
    <a:ln w="9525" cap="flat" cmpd="sng" algn="ctr">
      <a:solidFill>
        <a:schemeClr val="dk1">
          <a:lumMod val="15000"/>
          <a:lumOff val="85000"/>
        </a:schemeClr>
      </a:solidFill>
      <a:round/>
    </a:ln>
    <a:effectLst/>
  </c:spPr>
  <c:txPr>
    <a:bodyPr/>
    <a:lstStyle/>
    <a:p>
      <a:pPr>
        <a:defRPr/>
      </a:pPr>
      <a:endParaRPr lang="en-US"/>
    </a:p>
  </c:txPr>
  <c:extLst>
    <c:ext xmlns:c14="http://schemas.microsoft.com/office/drawing/2007/8/2/chart" uri="{781A3756-C4B2-4CAC-9D66-4F8BD8637D16}">
      <c14:pivotOptions>
        <c14:dropZoneFilter val="1"/>
        <c14:dropZoneCategories val="1"/>
        <c14:dropZoneData val="1"/>
        <c14:dropZoneSeries val="1"/>
      </c14:pivotOptions>
    </c:ext>
  </c:extLst>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pivotSource>
    <c:name>[Uninsured by Zip.xlsx]PivotTables!PivotTable1</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800" b="0" i="0" baseline="0">
                <a:effectLst/>
              </a:rPr>
              <a:t>Total number of Uninsured Persons per Zip Code</a:t>
            </a:r>
            <a:endParaRPr lang="en-US">
              <a:effectLst/>
            </a:endParaRPr>
          </a:p>
          <a:p>
            <a:pPr>
              <a:defRPr/>
            </a:pPr>
            <a:r>
              <a:rPr lang="en-US" sz="1200" b="0" i="0" baseline="0">
                <a:effectLst/>
              </a:rPr>
              <a:t>(Adj. to exclude persons with employer-based offer of coverage &amp; unlawfully present immigrants)</a:t>
            </a:r>
            <a:endParaRPr lang="en-US" sz="1200">
              <a:effectLst/>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19050">
            <a:solidFill>
              <a:schemeClr val="lt1"/>
            </a:solidFill>
          </a:ln>
          <a:effectLst/>
        </c:spPr>
        <c:marker>
          <c:symbol val="none"/>
        </c:marker>
        <c:dLbl>
          <c:idx val="0"/>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en-US"/>
            </a:p>
          </c:txPr>
          <c:dLblPos val="outEnd"/>
          <c:showLegendKey val="0"/>
          <c:showVal val="0"/>
          <c:showCatName val="1"/>
          <c:showSerName val="0"/>
          <c:showPercent val="1"/>
          <c:showBubbleSize val="0"/>
          <c:extLst>
            <c:ext xmlns:c15="http://schemas.microsoft.com/office/drawing/2012/chart" uri="{CE6537A1-D6FC-4f65-9D91-7224C49458BB}">
              <c15:spPr xmlns:c15="http://schemas.microsoft.com/office/drawing/2012/chart">
                <a:prstGeom prst="wedgeRectCallout">
                  <a:avLst/>
                </a:prstGeom>
                <a:noFill/>
                <a:ln>
                  <a:noFill/>
                </a:ln>
              </c15:spPr>
            </c:ext>
          </c:extLst>
        </c:dLbl>
      </c:pivotFmt>
      <c:pivotFmt>
        <c:idx val="1"/>
        <c:spPr>
          <a:solidFill>
            <a:schemeClr val="accent1">
              <a:shade val="33000"/>
            </a:schemeClr>
          </a:solidFill>
          <a:ln w="19050">
            <a:solidFill>
              <a:schemeClr val="lt1"/>
            </a:solidFill>
          </a:ln>
          <a:effectLst/>
        </c:spPr>
      </c:pivotFmt>
      <c:pivotFmt>
        <c:idx val="2"/>
        <c:spPr>
          <a:solidFill>
            <a:schemeClr val="accent1">
              <a:shade val="37000"/>
            </a:schemeClr>
          </a:solidFill>
          <a:ln w="19050">
            <a:solidFill>
              <a:schemeClr val="lt1"/>
            </a:solidFill>
          </a:ln>
          <a:effectLst/>
        </c:spPr>
      </c:pivotFmt>
      <c:pivotFmt>
        <c:idx val="3"/>
        <c:spPr>
          <a:solidFill>
            <a:schemeClr val="accent1">
              <a:shade val="37000"/>
            </a:schemeClr>
          </a:solidFill>
          <a:ln w="19050">
            <a:solidFill>
              <a:schemeClr val="lt1"/>
            </a:solidFill>
          </a:ln>
          <a:effectLst/>
        </c:spPr>
      </c:pivotFmt>
      <c:pivotFmt>
        <c:idx val="4"/>
        <c:spPr>
          <a:solidFill>
            <a:schemeClr val="accent1">
              <a:shade val="45000"/>
            </a:schemeClr>
          </a:solidFill>
          <a:ln w="19050">
            <a:solidFill>
              <a:schemeClr val="lt1"/>
            </a:solidFill>
          </a:ln>
          <a:effectLst/>
        </c:spPr>
      </c:pivotFmt>
      <c:pivotFmt>
        <c:idx val="5"/>
        <c:spPr>
          <a:solidFill>
            <a:schemeClr val="accent1">
              <a:shade val="41000"/>
            </a:schemeClr>
          </a:solidFill>
          <a:ln w="19050">
            <a:solidFill>
              <a:schemeClr val="lt1"/>
            </a:solidFill>
          </a:ln>
          <a:effectLst/>
        </c:spPr>
      </c:pivotFmt>
      <c:pivotFmt>
        <c:idx val="6"/>
        <c:spPr>
          <a:solidFill>
            <a:schemeClr val="accent1">
              <a:shade val="52000"/>
            </a:schemeClr>
          </a:solidFill>
          <a:ln w="19050">
            <a:solidFill>
              <a:schemeClr val="lt1"/>
            </a:solidFill>
          </a:ln>
          <a:effectLst/>
        </c:spPr>
      </c:pivotFmt>
      <c:pivotFmt>
        <c:idx val="7"/>
        <c:spPr>
          <a:solidFill>
            <a:schemeClr val="accent1">
              <a:shade val="56000"/>
            </a:schemeClr>
          </a:solidFill>
          <a:ln w="19050">
            <a:solidFill>
              <a:schemeClr val="lt1"/>
            </a:solidFill>
          </a:ln>
          <a:effectLst/>
        </c:spPr>
      </c:pivotFmt>
      <c:pivotFmt>
        <c:idx val="8"/>
        <c:spPr>
          <a:solidFill>
            <a:schemeClr val="accent1">
              <a:shade val="45000"/>
            </a:schemeClr>
          </a:solidFill>
          <a:ln w="19050">
            <a:solidFill>
              <a:schemeClr val="lt1"/>
            </a:solidFill>
          </a:ln>
          <a:effectLst/>
        </c:spPr>
      </c:pivotFmt>
      <c:pivotFmt>
        <c:idx val="9"/>
        <c:spPr>
          <a:solidFill>
            <a:schemeClr val="accent1">
              <a:shade val="64000"/>
            </a:schemeClr>
          </a:solidFill>
          <a:ln w="19050">
            <a:solidFill>
              <a:schemeClr val="lt1"/>
            </a:solidFill>
          </a:ln>
          <a:effectLst/>
        </c:spPr>
      </c:pivotFmt>
      <c:pivotFmt>
        <c:idx val="10"/>
        <c:spPr>
          <a:solidFill>
            <a:schemeClr val="accent1">
              <a:shade val="48000"/>
            </a:schemeClr>
          </a:solidFill>
          <a:ln w="19050">
            <a:solidFill>
              <a:schemeClr val="lt1"/>
            </a:solidFill>
          </a:ln>
          <a:effectLst/>
        </c:spPr>
      </c:pivotFmt>
      <c:pivotFmt>
        <c:idx val="11"/>
        <c:spPr>
          <a:solidFill>
            <a:schemeClr val="accent1">
              <a:shade val="71000"/>
            </a:schemeClr>
          </a:solidFill>
          <a:ln w="19050">
            <a:solidFill>
              <a:schemeClr val="lt1"/>
            </a:solidFill>
          </a:ln>
          <a:effectLst/>
        </c:spPr>
      </c:pivotFmt>
      <c:pivotFmt>
        <c:idx val="12"/>
        <c:spPr>
          <a:solidFill>
            <a:schemeClr val="accent1">
              <a:shade val="52000"/>
            </a:schemeClr>
          </a:solidFill>
          <a:ln w="19050">
            <a:solidFill>
              <a:schemeClr val="lt1"/>
            </a:solidFill>
          </a:ln>
          <a:effectLst/>
        </c:spPr>
      </c:pivotFmt>
      <c:pivotFmt>
        <c:idx val="13"/>
        <c:spPr>
          <a:solidFill>
            <a:schemeClr val="accent1">
              <a:shade val="79000"/>
            </a:schemeClr>
          </a:solidFill>
          <a:ln w="19050">
            <a:solidFill>
              <a:schemeClr val="lt1"/>
            </a:solidFill>
          </a:ln>
          <a:effectLst/>
        </c:spPr>
      </c:pivotFmt>
      <c:pivotFmt>
        <c:idx val="14"/>
        <c:spPr>
          <a:solidFill>
            <a:schemeClr val="accent1">
              <a:shade val="82000"/>
            </a:schemeClr>
          </a:solidFill>
          <a:ln w="19050">
            <a:solidFill>
              <a:schemeClr val="lt1"/>
            </a:solidFill>
          </a:ln>
          <a:effectLst/>
        </c:spPr>
      </c:pivotFmt>
      <c:pivotFmt>
        <c:idx val="15"/>
        <c:spPr>
          <a:solidFill>
            <a:schemeClr val="accent1">
              <a:shade val="86000"/>
            </a:schemeClr>
          </a:solidFill>
          <a:ln w="19050">
            <a:solidFill>
              <a:schemeClr val="lt1"/>
            </a:solidFill>
          </a:ln>
          <a:effectLst/>
        </c:spPr>
      </c:pivotFmt>
      <c:pivotFmt>
        <c:idx val="16"/>
        <c:spPr>
          <a:solidFill>
            <a:schemeClr val="accent1">
              <a:shade val="90000"/>
            </a:schemeClr>
          </a:solidFill>
          <a:ln w="19050">
            <a:solidFill>
              <a:schemeClr val="lt1"/>
            </a:solidFill>
          </a:ln>
          <a:effectLst/>
        </c:spPr>
      </c:pivotFmt>
      <c:pivotFmt>
        <c:idx val="17"/>
        <c:spPr>
          <a:solidFill>
            <a:schemeClr val="accent1">
              <a:shade val="94000"/>
            </a:schemeClr>
          </a:solidFill>
          <a:ln w="19050">
            <a:solidFill>
              <a:schemeClr val="lt1"/>
            </a:solidFill>
          </a:ln>
          <a:effectLst/>
        </c:spPr>
      </c:pivotFmt>
      <c:pivotFmt>
        <c:idx val="18"/>
        <c:spPr>
          <a:solidFill>
            <a:schemeClr val="accent1">
              <a:shade val="98000"/>
            </a:schemeClr>
          </a:solidFill>
          <a:ln w="19050">
            <a:solidFill>
              <a:schemeClr val="lt1"/>
            </a:solidFill>
          </a:ln>
          <a:effectLst/>
        </c:spPr>
      </c:pivotFmt>
      <c:pivotFmt>
        <c:idx val="19"/>
        <c:spPr>
          <a:solidFill>
            <a:schemeClr val="accent1">
              <a:shade val="56000"/>
            </a:schemeClr>
          </a:solidFill>
          <a:ln w="19050">
            <a:solidFill>
              <a:schemeClr val="lt1"/>
            </a:solidFill>
          </a:ln>
          <a:effectLst/>
        </c:spPr>
      </c:pivotFmt>
      <c:pivotFmt>
        <c:idx val="20"/>
        <c:spPr>
          <a:solidFill>
            <a:schemeClr val="accent1">
              <a:tint val="95000"/>
            </a:schemeClr>
          </a:solidFill>
          <a:ln w="19050">
            <a:solidFill>
              <a:schemeClr val="lt1"/>
            </a:solidFill>
          </a:ln>
          <a:effectLst/>
        </c:spPr>
      </c:pivotFmt>
      <c:pivotFmt>
        <c:idx val="21"/>
        <c:spPr>
          <a:solidFill>
            <a:schemeClr val="accent1">
              <a:tint val="91000"/>
            </a:schemeClr>
          </a:solidFill>
          <a:ln w="19050">
            <a:solidFill>
              <a:schemeClr val="lt1"/>
            </a:solidFill>
          </a:ln>
          <a:effectLst/>
        </c:spPr>
      </c:pivotFmt>
      <c:pivotFmt>
        <c:idx val="22"/>
        <c:spPr>
          <a:solidFill>
            <a:schemeClr val="accent1">
              <a:shade val="60000"/>
            </a:schemeClr>
          </a:solidFill>
          <a:ln w="19050">
            <a:solidFill>
              <a:schemeClr val="lt1"/>
            </a:solidFill>
          </a:ln>
          <a:effectLst/>
        </c:spPr>
      </c:pivotFmt>
      <c:pivotFmt>
        <c:idx val="23"/>
        <c:spPr>
          <a:solidFill>
            <a:schemeClr val="accent1">
              <a:shade val="64000"/>
            </a:schemeClr>
          </a:solidFill>
          <a:ln w="19050">
            <a:solidFill>
              <a:schemeClr val="lt1"/>
            </a:solidFill>
          </a:ln>
          <a:effectLst/>
        </c:spPr>
      </c:pivotFmt>
      <c:pivotFmt>
        <c:idx val="24"/>
        <c:spPr>
          <a:solidFill>
            <a:schemeClr val="accent1">
              <a:tint val="80000"/>
            </a:schemeClr>
          </a:solidFill>
          <a:ln w="19050">
            <a:solidFill>
              <a:schemeClr val="lt1"/>
            </a:solidFill>
          </a:ln>
          <a:effectLst/>
        </c:spPr>
      </c:pivotFmt>
      <c:pivotFmt>
        <c:idx val="25"/>
        <c:spPr>
          <a:solidFill>
            <a:schemeClr val="accent1">
              <a:tint val="76000"/>
            </a:schemeClr>
          </a:solidFill>
          <a:ln w="19050">
            <a:solidFill>
              <a:schemeClr val="lt1"/>
            </a:solidFill>
          </a:ln>
          <a:effectLst/>
        </c:spPr>
      </c:pivotFmt>
      <c:pivotFmt>
        <c:idx val="26"/>
        <c:spPr>
          <a:solidFill>
            <a:schemeClr val="accent1">
              <a:tint val="72000"/>
            </a:schemeClr>
          </a:solidFill>
          <a:ln w="19050">
            <a:solidFill>
              <a:schemeClr val="lt1"/>
            </a:solidFill>
          </a:ln>
          <a:effectLst/>
        </c:spPr>
      </c:pivotFmt>
      <c:pivotFmt>
        <c:idx val="27"/>
        <c:spPr>
          <a:solidFill>
            <a:schemeClr val="accent1">
              <a:shade val="67000"/>
            </a:schemeClr>
          </a:solidFill>
          <a:ln w="19050">
            <a:solidFill>
              <a:schemeClr val="lt1"/>
            </a:solidFill>
          </a:ln>
          <a:effectLst/>
        </c:spPr>
      </c:pivotFmt>
      <c:pivotFmt>
        <c:idx val="28"/>
        <c:spPr>
          <a:solidFill>
            <a:schemeClr val="accent1">
              <a:tint val="65000"/>
            </a:schemeClr>
          </a:solidFill>
          <a:ln w="19050">
            <a:solidFill>
              <a:schemeClr val="lt1"/>
            </a:solidFill>
          </a:ln>
          <a:effectLst/>
        </c:spPr>
      </c:pivotFmt>
      <c:pivotFmt>
        <c:idx val="29"/>
        <c:spPr>
          <a:solidFill>
            <a:schemeClr val="accent1">
              <a:tint val="61000"/>
            </a:schemeClr>
          </a:solidFill>
          <a:ln w="19050">
            <a:solidFill>
              <a:schemeClr val="lt1"/>
            </a:solidFill>
          </a:ln>
          <a:effectLst/>
        </c:spPr>
      </c:pivotFmt>
      <c:pivotFmt>
        <c:idx val="30"/>
        <c:spPr>
          <a:solidFill>
            <a:schemeClr val="accent1">
              <a:tint val="57000"/>
            </a:schemeClr>
          </a:solidFill>
          <a:ln w="19050">
            <a:solidFill>
              <a:schemeClr val="lt1"/>
            </a:solidFill>
          </a:ln>
          <a:effectLst/>
        </c:spPr>
      </c:pivotFmt>
      <c:pivotFmt>
        <c:idx val="31"/>
        <c:spPr>
          <a:solidFill>
            <a:schemeClr val="accent1">
              <a:tint val="53000"/>
            </a:schemeClr>
          </a:solidFill>
          <a:ln w="19050">
            <a:solidFill>
              <a:schemeClr val="lt1"/>
            </a:solidFill>
          </a:ln>
          <a:effectLst/>
        </c:spPr>
      </c:pivotFmt>
      <c:pivotFmt>
        <c:idx val="32"/>
        <c:spPr>
          <a:solidFill>
            <a:schemeClr val="accent1">
              <a:tint val="49000"/>
            </a:schemeClr>
          </a:solidFill>
          <a:ln w="19050">
            <a:solidFill>
              <a:schemeClr val="lt1"/>
            </a:solidFill>
          </a:ln>
          <a:effectLst/>
        </c:spPr>
      </c:pivotFmt>
      <c:pivotFmt>
        <c:idx val="33"/>
        <c:spPr>
          <a:solidFill>
            <a:schemeClr val="accent1">
              <a:tint val="46000"/>
            </a:schemeClr>
          </a:solidFill>
          <a:ln w="19050">
            <a:solidFill>
              <a:schemeClr val="lt1"/>
            </a:solidFill>
          </a:ln>
          <a:effectLst/>
        </c:spPr>
      </c:pivotFmt>
      <c:pivotFmt>
        <c:idx val="34"/>
        <c:spPr>
          <a:solidFill>
            <a:schemeClr val="accent1">
              <a:tint val="42000"/>
            </a:schemeClr>
          </a:solidFill>
          <a:ln w="19050">
            <a:solidFill>
              <a:schemeClr val="lt1"/>
            </a:solidFill>
          </a:ln>
          <a:effectLst/>
        </c:spPr>
      </c:pivotFmt>
      <c:pivotFmt>
        <c:idx val="35"/>
        <c:spPr>
          <a:solidFill>
            <a:schemeClr val="accent1">
              <a:shade val="71000"/>
            </a:schemeClr>
          </a:solidFill>
          <a:ln w="19050">
            <a:solidFill>
              <a:schemeClr val="lt1"/>
            </a:solidFill>
          </a:ln>
          <a:effectLst/>
        </c:spPr>
      </c:pivotFmt>
      <c:pivotFmt>
        <c:idx val="36"/>
        <c:spPr>
          <a:solidFill>
            <a:schemeClr val="accent1">
              <a:tint val="34000"/>
            </a:schemeClr>
          </a:solidFill>
          <a:ln w="19050">
            <a:solidFill>
              <a:schemeClr val="lt1"/>
            </a:solidFill>
          </a:ln>
          <a:effectLst/>
        </c:spPr>
      </c:pivotFmt>
    </c:pivotFmts>
    <c:plotArea>
      <c:layout/>
      <c:pieChart>
        <c:varyColors val="1"/>
        <c:ser>
          <c:idx val="0"/>
          <c:order val="0"/>
          <c:tx>
            <c:strRef>
              <c:f>PivotTables!$B$4</c:f>
              <c:strCache>
                <c:ptCount val="1"/>
                <c:pt idx="0">
                  <c:v>Total</c:v>
                </c:pt>
              </c:strCache>
            </c:strRef>
          </c:tx>
          <c:explosion val="8"/>
          <c:dPt>
            <c:idx val="0"/>
            <c:bubble3D val="0"/>
            <c:spPr>
              <a:solidFill>
                <a:schemeClr val="accent1">
                  <a:shade val="33000"/>
                </a:schemeClr>
              </a:solidFill>
              <a:ln w="19050">
                <a:solidFill>
                  <a:schemeClr val="lt1"/>
                </a:solidFill>
              </a:ln>
              <a:effectLst/>
            </c:spPr>
          </c:dPt>
          <c:dPt>
            <c:idx val="1"/>
            <c:bubble3D val="0"/>
            <c:spPr>
              <a:solidFill>
                <a:schemeClr val="accent1">
                  <a:shade val="37000"/>
                </a:schemeClr>
              </a:solidFill>
              <a:ln w="19050">
                <a:solidFill>
                  <a:schemeClr val="lt1"/>
                </a:solidFill>
              </a:ln>
              <a:effectLst/>
            </c:spPr>
          </c:dPt>
          <c:dPt>
            <c:idx val="2"/>
            <c:bubble3D val="0"/>
            <c:spPr>
              <a:solidFill>
                <a:schemeClr val="accent1">
                  <a:shade val="41000"/>
                </a:schemeClr>
              </a:solidFill>
              <a:ln w="19050">
                <a:solidFill>
                  <a:schemeClr val="lt1"/>
                </a:solidFill>
              </a:ln>
              <a:effectLst/>
            </c:spPr>
          </c:dPt>
          <c:dPt>
            <c:idx val="3"/>
            <c:bubble3D val="0"/>
            <c:spPr>
              <a:solidFill>
                <a:schemeClr val="accent1">
                  <a:shade val="45000"/>
                </a:schemeClr>
              </a:solidFill>
              <a:ln w="19050">
                <a:solidFill>
                  <a:schemeClr val="lt1"/>
                </a:solidFill>
              </a:ln>
              <a:effectLst/>
            </c:spPr>
          </c:dPt>
          <c:dPt>
            <c:idx val="4"/>
            <c:bubble3D val="0"/>
            <c:spPr>
              <a:solidFill>
                <a:schemeClr val="accent1">
                  <a:shade val="48000"/>
                </a:schemeClr>
              </a:solidFill>
              <a:ln w="19050">
                <a:solidFill>
                  <a:schemeClr val="lt1"/>
                </a:solidFill>
              </a:ln>
              <a:effectLst/>
            </c:spPr>
          </c:dPt>
          <c:dPt>
            <c:idx val="5"/>
            <c:bubble3D val="0"/>
            <c:spPr>
              <a:solidFill>
                <a:schemeClr val="accent1">
                  <a:shade val="52000"/>
                </a:schemeClr>
              </a:solidFill>
              <a:ln w="19050">
                <a:solidFill>
                  <a:schemeClr val="lt1"/>
                </a:solidFill>
              </a:ln>
              <a:effectLst/>
            </c:spPr>
          </c:dPt>
          <c:dPt>
            <c:idx val="6"/>
            <c:bubble3D val="0"/>
            <c:spPr>
              <a:solidFill>
                <a:schemeClr val="accent1">
                  <a:shade val="56000"/>
                </a:schemeClr>
              </a:solidFill>
              <a:ln w="19050">
                <a:solidFill>
                  <a:schemeClr val="lt1"/>
                </a:solidFill>
              </a:ln>
              <a:effectLst/>
            </c:spPr>
          </c:dPt>
          <c:dPt>
            <c:idx val="7"/>
            <c:bubble3D val="0"/>
            <c:spPr>
              <a:solidFill>
                <a:schemeClr val="accent1">
                  <a:shade val="60000"/>
                </a:schemeClr>
              </a:solidFill>
              <a:ln w="19050">
                <a:solidFill>
                  <a:schemeClr val="lt1"/>
                </a:solidFill>
              </a:ln>
              <a:effectLst/>
            </c:spPr>
          </c:dPt>
          <c:dPt>
            <c:idx val="8"/>
            <c:bubble3D val="0"/>
            <c:spPr>
              <a:solidFill>
                <a:schemeClr val="accent1">
                  <a:shade val="64000"/>
                </a:schemeClr>
              </a:solidFill>
              <a:ln w="19050">
                <a:solidFill>
                  <a:schemeClr val="lt1"/>
                </a:solidFill>
              </a:ln>
              <a:effectLst/>
            </c:spPr>
          </c:dPt>
          <c:dPt>
            <c:idx val="9"/>
            <c:bubble3D val="0"/>
            <c:spPr>
              <a:solidFill>
                <a:schemeClr val="accent1">
                  <a:shade val="67000"/>
                </a:schemeClr>
              </a:solidFill>
              <a:ln w="19050">
                <a:solidFill>
                  <a:schemeClr val="lt1"/>
                </a:solidFill>
              </a:ln>
              <a:effectLst/>
            </c:spPr>
          </c:dPt>
          <c:dPt>
            <c:idx val="10"/>
            <c:bubble3D val="0"/>
            <c:spPr>
              <a:solidFill>
                <a:schemeClr val="accent1">
                  <a:shade val="71000"/>
                </a:schemeClr>
              </a:solidFill>
              <a:ln w="19050">
                <a:solidFill>
                  <a:schemeClr val="lt1"/>
                </a:solidFill>
              </a:ln>
              <a:effectLst/>
            </c:spPr>
          </c:dPt>
          <c:dPt>
            <c:idx val="11"/>
            <c:bubble3D val="0"/>
            <c:spPr>
              <a:solidFill>
                <a:schemeClr val="accent1">
                  <a:tint val="30000"/>
                </a:schemeClr>
              </a:solidFill>
              <a:ln w="19050">
                <a:solidFill>
                  <a:schemeClr val="lt1"/>
                </a:solidFill>
              </a:ln>
              <a:effectLst/>
            </c:spPr>
          </c:dPt>
          <c:dPt>
            <c:idx val="12"/>
            <c:bubble3D val="0"/>
            <c:spPr>
              <a:solidFill>
                <a:schemeClr val="accent1">
                  <a:tint val="19000"/>
                </a:schemeClr>
              </a:solidFill>
              <a:ln w="19050">
                <a:solidFill>
                  <a:schemeClr val="lt1"/>
                </a:solidFill>
              </a:ln>
              <a:effectLst/>
            </c:spPr>
          </c:dPt>
          <c:dPt>
            <c:idx val="13"/>
            <c:bubble3D val="0"/>
            <c:spPr>
              <a:solidFill>
                <a:schemeClr val="accent1">
                  <a:tint val="7000"/>
                </a:schemeClr>
              </a:solidFill>
              <a:ln w="19050">
                <a:solidFill>
                  <a:schemeClr val="lt1"/>
                </a:solidFill>
              </a:ln>
              <a:effectLst/>
            </c:spPr>
          </c:dPt>
          <c:dPt>
            <c:idx val="14"/>
            <c:bubble3D val="0"/>
            <c:spPr>
              <a:solidFill>
                <a:schemeClr val="accent1">
                  <a:tint val="95000"/>
                </a:schemeClr>
              </a:solidFill>
              <a:ln w="19050">
                <a:solidFill>
                  <a:schemeClr val="lt1"/>
                </a:solidFill>
              </a:ln>
              <a:effectLst/>
            </c:spPr>
          </c:dPt>
          <c:dPt>
            <c:idx val="15"/>
            <c:bubble3D val="0"/>
            <c:spPr>
              <a:solidFill>
                <a:schemeClr val="accent1">
                  <a:tint val="84000"/>
                </a:schemeClr>
              </a:solidFill>
              <a:ln w="19050">
                <a:solidFill>
                  <a:schemeClr val="lt1"/>
                </a:solidFill>
              </a:ln>
              <a:effectLst/>
            </c:spPr>
          </c:dPt>
          <c:dPt>
            <c:idx val="16"/>
            <c:bubble3D val="0"/>
            <c:spPr>
              <a:solidFill>
                <a:schemeClr val="accent1">
                  <a:tint val="72000"/>
                </a:schemeClr>
              </a:solidFill>
              <a:ln w="19050">
                <a:solidFill>
                  <a:schemeClr val="lt1"/>
                </a:solidFill>
              </a:ln>
              <a:effectLst/>
            </c:spPr>
          </c:dPt>
          <c:dPt>
            <c:idx val="17"/>
            <c:bubble3D val="0"/>
            <c:spPr>
              <a:solidFill>
                <a:schemeClr val="accent1">
                  <a:tint val="60000"/>
                </a:schemeClr>
              </a:solidFill>
              <a:ln w="19050">
                <a:solidFill>
                  <a:schemeClr val="lt1"/>
                </a:solidFill>
              </a:ln>
              <a:effectLst/>
            </c:spPr>
          </c:dPt>
          <c:dPt>
            <c:idx val="18"/>
            <c:bubble3D val="0"/>
            <c:spPr>
              <a:solidFill>
                <a:schemeClr val="accent1">
                  <a:tint val="49000"/>
                </a:schemeClr>
              </a:solidFill>
              <a:ln w="19050">
                <a:solidFill>
                  <a:schemeClr val="lt1"/>
                </a:solidFill>
              </a:ln>
              <a:effectLst/>
            </c:spPr>
          </c:dPt>
          <c:dPt>
            <c:idx val="19"/>
            <c:bubble3D val="0"/>
            <c:spPr>
              <a:solidFill>
                <a:schemeClr val="accent1">
                  <a:tint val="37000"/>
                </a:schemeClr>
              </a:solidFill>
              <a:ln w="19050">
                <a:solidFill>
                  <a:schemeClr val="lt1"/>
                </a:solidFill>
              </a:ln>
              <a:effectLst/>
            </c:spPr>
          </c:dPt>
          <c:dPt>
            <c:idx val="20"/>
            <c:bubble3D val="0"/>
            <c:spPr>
              <a:solidFill>
                <a:schemeClr val="accent1">
                  <a:tint val="25000"/>
                </a:schemeClr>
              </a:solidFill>
              <a:ln w="19050">
                <a:solidFill>
                  <a:schemeClr val="lt1"/>
                </a:solidFill>
              </a:ln>
              <a:effectLst/>
            </c:spPr>
          </c:dPt>
          <c:dPt>
            <c:idx val="21"/>
            <c:bubble3D val="0"/>
            <c:spPr>
              <a:solidFill>
                <a:schemeClr val="accent1">
                  <a:tint val="14000"/>
                </a:schemeClr>
              </a:solidFill>
              <a:ln w="19050">
                <a:solidFill>
                  <a:schemeClr val="lt1"/>
                </a:solidFill>
              </a:ln>
              <a:effectLst/>
            </c:spPr>
          </c:dPt>
          <c:dPt>
            <c:idx val="22"/>
            <c:bubble3D val="0"/>
            <c:spPr>
              <a:solidFill>
                <a:schemeClr val="accent1">
                  <a:tint val="2000"/>
                </a:schemeClr>
              </a:solidFill>
              <a:ln w="19050">
                <a:solidFill>
                  <a:schemeClr val="lt1"/>
                </a:solidFill>
              </a:ln>
              <a:effectLst/>
            </c:spPr>
          </c:dPt>
          <c:dPt>
            <c:idx val="23"/>
            <c:bubble3D val="0"/>
            <c:spPr>
              <a:solidFill>
                <a:schemeClr val="accent1">
                  <a:tint val="90000"/>
                </a:schemeClr>
              </a:solidFill>
              <a:ln w="19050">
                <a:solidFill>
                  <a:schemeClr val="lt1"/>
                </a:solidFill>
              </a:ln>
              <a:effectLst/>
            </c:spPr>
          </c:dPt>
          <c:dPt>
            <c:idx val="24"/>
            <c:bubble3D val="0"/>
            <c:spPr>
              <a:solidFill>
                <a:schemeClr val="accent1">
                  <a:tint val="79000"/>
                </a:schemeClr>
              </a:solidFill>
              <a:ln w="19050">
                <a:solidFill>
                  <a:schemeClr val="lt1"/>
                </a:solidFill>
              </a:ln>
              <a:effectLst/>
            </c:spPr>
          </c:dPt>
          <c:dPt>
            <c:idx val="25"/>
            <c:bubble3D val="0"/>
            <c:spPr>
              <a:solidFill>
                <a:schemeClr val="accent1">
                  <a:tint val="67000"/>
                </a:schemeClr>
              </a:solidFill>
              <a:ln w="19050">
                <a:solidFill>
                  <a:schemeClr val="lt1"/>
                </a:solidFill>
              </a:ln>
              <a:effectLst/>
            </c:spPr>
          </c:dPt>
          <c:dPt>
            <c:idx val="26"/>
            <c:bubble3D val="0"/>
            <c:spPr>
              <a:solidFill>
                <a:schemeClr val="accent1">
                  <a:tint val="55000"/>
                </a:schemeClr>
              </a:solidFill>
              <a:ln w="19050">
                <a:solidFill>
                  <a:schemeClr val="lt1"/>
                </a:solidFill>
              </a:ln>
              <a:effectLst/>
            </c:spPr>
          </c:dPt>
          <c:dPt>
            <c:idx val="27"/>
            <c:bubble3D val="0"/>
            <c:spPr>
              <a:solidFill>
                <a:schemeClr val="accent1">
                  <a:tint val="44000"/>
                </a:schemeClr>
              </a:solidFill>
              <a:ln w="19050">
                <a:solidFill>
                  <a:schemeClr val="lt1"/>
                </a:solidFill>
              </a:ln>
              <a:effectLst/>
            </c:spPr>
          </c:dPt>
          <c:dPt>
            <c:idx val="28"/>
            <c:bubble3D val="0"/>
            <c:spPr>
              <a:solidFill>
                <a:schemeClr val="accent1">
                  <a:tint val="32000"/>
                </a:schemeClr>
              </a:solidFill>
              <a:ln w="19050">
                <a:solidFill>
                  <a:schemeClr val="lt1"/>
                </a:solidFill>
              </a:ln>
              <a:effectLst/>
            </c:spPr>
          </c:dPt>
          <c:dPt>
            <c:idx val="29"/>
            <c:bubble3D val="0"/>
            <c:spPr>
              <a:solidFill>
                <a:schemeClr val="accent1">
                  <a:tint val="20000"/>
                </a:schemeClr>
              </a:solidFill>
              <a:ln w="19050">
                <a:solidFill>
                  <a:schemeClr val="lt1"/>
                </a:solidFill>
              </a:ln>
              <a:effectLst/>
            </c:spPr>
          </c:dPt>
          <c:dPt>
            <c:idx val="30"/>
            <c:bubble3D val="0"/>
            <c:spPr>
              <a:solidFill>
                <a:schemeClr val="accent1">
                  <a:tint val="9000"/>
                </a:schemeClr>
              </a:solidFill>
              <a:ln w="19050">
                <a:solidFill>
                  <a:schemeClr val="lt1"/>
                </a:solidFill>
              </a:ln>
              <a:effectLst/>
            </c:spPr>
          </c:dPt>
          <c:dPt>
            <c:idx val="31"/>
            <c:bubble3D val="0"/>
            <c:spPr>
              <a:solidFill>
                <a:schemeClr val="accent1">
                  <a:tint val="97000"/>
                </a:schemeClr>
              </a:solidFill>
              <a:ln w="19050">
                <a:solidFill>
                  <a:schemeClr val="lt1"/>
                </a:solidFill>
              </a:ln>
              <a:effectLst/>
            </c:spPr>
          </c:dPt>
          <c:dPt>
            <c:idx val="32"/>
            <c:bubble3D val="0"/>
            <c:spPr>
              <a:solidFill>
                <a:schemeClr val="accent1">
                  <a:tint val="85000"/>
                </a:schemeClr>
              </a:solidFill>
              <a:ln w="19050">
                <a:solidFill>
                  <a:schemeClr val="lt1"/>
                </a:solidFill>
              </a:ln>
              <a:effectLst/>
            </c:spPr>
          </c:dPt>
          <c:dPt>
            <c:idx val="33"/>
            <c:bubble3D val="0"/>
            <c:spPr>
              <a:solidFill>
                <a:schemeClr val="accent1">
                  <a:tint val="74000"/>
                </a:schemeClr>
              </a:solidFill>
              <a:ln w="19050">
                <a:solidFill>
                  <a:schemeClr val="lt1"/>
                </a:solidFill>
              </a:ln>
              <a:effectLst/>
            </c:spPr>
          </c:dPt>
          <c:dPt>
            <c:idx val="34"/>
            <c:bubble3D val="0"/>
            <c:spPr>
              <a:solidFill>
                <a:schemeClr val="accent1">
                  <a:tint val="62000"/>
                </a:schemeClr>
              </a:solidFill>
              <a:ln w="19050">
                <a:solidFill>
                  <a:schemeClr val="lt1"/>
                </a:solidFill>
              </a:ln>
              <a:effectLst/>
            </c:spPr>
          </c:dPt>
          <c:dPt>
            <c:idx val="35"/>
            <c:bubble3D val="0"/>
            <c:spPr>
              <a:solidFill>
                <a:schemeClr val="accent1">
                  <a:tint val="50000"/>
                </a:schemeClr>
              </a:solidFill>
              <a:ln w="19050">
                <a:solidFill>
                  <a:schemeClr val="lt1"/>
                </a:solidFill>
              </a:ln>
              <a:effectLst/>
            </c:spPr>
          </c:dPt>
          <c:dLbls>
            <c:spPr>
              <a:solidFill>
                <a:sysClr val="window" lastClr="FFFFFF"/>
              </a:solidFill>
              <a:ln>
                <a:solidFill>
                  <a:sysClr val="windowText" lastClr="000000">
                    <a:lumMod val="25000"/>
                    <a:lumOff val="75000"/>
                  </a:sysClr>
                </a:solidFill>
              </a:ln>
              <a:effectLst/>
            </c:spPr>
            <c:txPr>
              <a:bodyPr rot="0" spcFirstLastPara="1" vertOverflow="clip" horzOverflow="clip" vert="horz" wrap="square" lIns="38100" tIns="19050" rIns="38100" bIns="19050" anchor="ctr" anchorCtr="1">
                <a:spAutoFit/>
              </a:bodyPr>
              <a:lstStyle/>
              <a:p>
                <a:pPr>
                  <a:defRPr sz="900" b="0" i="0" u="none" strike="noStrike" kern="1200" baseline="0">
                    <a:solidFill>
                      <a:schemeClr val="dk1">
                        <a:lumMod val="65000"/>
                        <a:lumOff val="35000"/>
                      </a:schemeClr>
                    </a:solidFill>
                    <a:latin typeface="+mn-lt"/>
                    <a:ea typeface="+mn-ea"/>
                    <a:cs typeface="+mn-cs"/>
                  </a:defRPr>
                </a:pPr>
                <a:endParaRPr lang="en-US"/>
              </a:p>
            </c:txPr>
            <c:dLblPos val="outEnd"/>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15:spPr xmlns:c15="http://schemas.microsoft.com/office/drawing/2012/chart">
                  <a:prstGeom prst="wedgeRectCallout">
                    <a:avLst/>
                  </a:prstGeom>
                  <a:noFill/>
                  <a:ln>
                    <a:noFill/>
                  </a:ln>
                </c15:spPr>
              </c:ext>
            </c:extLst>
          </c:dLbls>
          <c:cat>
            <c:strRef>
              <c:f>PivotTables!$A$5:$A$16</c:f>
              <c:strCache>
                <c:ptCount val="11"/>
                <c:pt idx="0">
                  <c:v>21801</c:v>
                </c:pt>
                <c:pt idx="1">
                  <c:v>21804</c:v>
                </c:pt>
                <c:pt idx="2">
                  <c:v>21811</c:v>
                </c:pt>
                <c:pt idx="3">
                  <c:v>21817</c:v>
                </c:pt>
                <c:pt idx="4">
                  <c:v>21822</c:v>
                </c:pt>
                <c:pt idx="5">
                  <c:v>21826</c:v>
                </c:pt>
                <c:pt idx="6">
                  <c:v>21842</c:v>
                </c:pt>
                <c:pt idx="7">
                  <c:v>21851</c:v>
                </c:pt>
                <c:pt idx="8">
                  <c:v>21853</c:v>
                </c:pt>
                <c:pt idx="9">
                  <c:v>21863</c:v>
                </c:pt>
                <c:pt idx="10">
                  <c:v>21875</c:v>
                </c:pt>
              </c:strCache>
            </c:strRef>
          </c:cat>
          <c:val>
            <c:numRef>
              <c:f>PivotTables!$B$5:$B$16</c:f>
              <c:numCache>
                <c:formatCode>General</c:formatCode>
                <c:ptCount val="11"/>
                <c:pt idx="0">
                  <c:v>1789.8518638718706</c:v>
                </c:pt>
                <c:pt idx="1">
                  <c:v>2235.2145097713524</c:v>
                </c:pt>
                <c:pt idx="2">
                  <c:v>1181.3879753911417</c:v>
                </c:pt>
                <c:pt idx="3">
                  <c:v>397</c:v>
                </c:pt>
                <c:pt idx="4">
                  <c:v>440</c:v>
                </c:pt>
                <c:pt idx="5">
                  <c:v>548</c:v>
                </c:pt>
                <c:pt idx="6">
                  <c:v>767</c:v>
                </c:pt>
                <c:pt idx="7">
                  <c:v>612</c:v>
                </c:pt>
                <c:pt idx="8">
                  <c:v>674</c:v>
                </c:pt>
                <c:pt idx="9">
                  <c:v>299</c:v>
                </c:pt>
                <c:pt idx="10">
                  <c:v>693</c:v>
                </c:pt>
              </c:numCache>
            </c:numRef>
          </c:val>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extLst>
    <c:ext xmlns:c14="http://schemas.microsoft.com/office/drawing/2007/8/2/chart" uri="{781A3756-C4B2-4CAC-9D66-4F8BD8637D16}">
      <c14:pivotOptions>
        <c14:dropZoneFilter val="1"/>
        <c14:dropZoneCategories val="1"/>
        <c14:dropZoneData val="1"/>
        <c14:dropZoneSeries val="1"/>
        <c14:dropZonesVisible val="1"/>
      </c14:pivotOptions>
    </c:ext>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339">
  <cs:axisTitle>
    <cs:lnRef idx="0"/>
    <cs:fillRef idx="0"/>
    <cs:effectRef idx="0"/>
    <cs:fontRef idx="minor">
      <a:schemeClr val="lt1">
        <a:lumMod val="75000"/>
      </a:schemeClr>
    </cs:fontRef>
    <cs:defRPr sz="900" b="1" kern="1200"/>
  </cs:axisTitle>
  <cs:categoryAxis>
    <cs:lnRef idx="0"/>
    <cs:fillRef idx="0"/>
    <cs:effectRef idx="0"/>
    <cs:fontRef idx="minor">
      <a:schemeClr val="lt1">
        <a:lumMod val="75000"/>
      </a:schemeClr>
    </cs:fontRef>
    <cs:defRPr sz="900" kern="1200"/>
  </cs:categoryAxis>
  <cs:chartArea>
    <cs:lnRef idx="0"/>
    <cs:fillRef idx="0"/>
    <cs:effectRef idx="0"/>
    <cs:fontRef idx="minor">
      <a:schemeClr val="dk1"/>
    </cs:fontRef>
    <cs:spPr>
      <a:solidFill>
        <a:schemeClr val="dk1">
          <a:lumMod val="75000"/>
          <a:lumOff val="25000"/>
        </a:schemeClr>
      </a:solidFill>
      <a:ln w="9525" cap="flat" cmpd="sng" algn="ctr">
        <a:solidFill>
          <a:schemeClr val="dk1">
            <a:lumMod val="15000"/>
            <a:lumOff val="85000"/>
          </a:schemeClr>
        </a:solidFill>
        <a:round/>
      </a:ln>
    </cs:spPr>
    <cs:defRPr sz="900" kern="1200"/>
  </cs:chartArea>
  <cs:dataLabel>
    <cs:lnRef idx="0"/>
    <cs:fillRef idx="0"/>
    <cs:effectRef idx="0"/>
    <cs:fontRef idx="minor">
      <a:schemeClr val="lt1">
        <a:lumMod val="75000"/>
      </a:schemeClr>
    </cs:fontRef>
    <cs:defRPr sz="900" kern="1200"/>
  </cs:dataLabel>
  <cs:dataLabelCallout>
    <cs:lnRef idx="0"/>
    <cs:fillRef idx="0"/>
    <cs:effectRef idx="0"/>
    <cs:fontRef idx="minor">
      <a:schemeClr val="lt1">
        <a:lumMod val="15000"/>
        <a:lumOff val="85000"/>
      </a:schemeClr>
    </cs:fontRef>
    <cs:spPr>
      <a:solidFill>
        <a:schemeClr val="dk1">
          <a:lumMod val="65000"/>
          <a:lumOff val="35000"/>
        </a:schemeClr>
      </a:solidFill>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0"/>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
  <cs:dataPoint3D>
    <cs:lnRef idx="0">
      <cs:styleClr val="auto"/>
    </cs:lnRef>
    <cs:fillRef idx="0">
      <cs:styleClr val="auto"/>
    </cs:fillRef>
    <cs:effectRef idx="0">
      <cs:styleClr val="auto"/>
    </cs:effectRef>
    <cs:fontRef idx="minor">
      <a:schemeClr val="dk1"/>
    </cs:fontRef>
    <cs:spPr>
      <a:ln w="9525" cap="flat" cmpd="sng" algn="ctr">
        <a:solidFill>
          <a:schemeClr val="phClr"/>
        </a:solidFill>
        <a:miter lim="800000"/>
      </a:ln>
      <a:effectLst>
        <a:glow rad="63500">
          <a:schemeClr val="phClr">
            <a:satMod val="175000"/>
            <a:alpha val="25000"/>
          </a:schemeClr>
        </a:glow>
      </a:effectLst>
    </cs:spPr>
  </cs:dataPoint3D>
  <cs:dataPointLine>
    <cs:lnRef idx="0">
      <cs:styleClr val="auto"/>
    </cs:lnRef>
    <cs:fillRef idx="0">
      <cs:styleClr val="auto"/>
    </cs:fillRef>
    <cs:effectRef idx="0">
      <cs:styleClr val="auto"/>
    </cs:effectRef>
    <cs:fontRef idx="minor">
      <a:schemeClr val="dk1"/>
    </cs:fontRef>
    <cs:spPr>
      <a:ln w="22225" cap="rnd">
        <a:solidFill>
          <a:schemeClr val="phClr"/>
        </a:solidFill>
      </a:ln>
      <a:effectLst>
        <a:glow rad="139700">
          <a:schemeClr val="phClr">
            <a:satMod val="175000"/>
            <a:alpha val="14000"/>
          </a:schemeClr>
        </a:glow>
      </a:effectLst>
    </cs:spPr>
  </cs:dataPointLine>
  <cs:dataPointMarker>
    <cs:lnRef idx="0">
      <cs:styleClr val="auto"/>
    </cs:lnRef>
    <cs:fillRef idx="0">
      <cs:styleClr val="auto"/>
    </cs:fillRef>
    <cs:effectRef idx="0">
      <cs:styleClr val="auto"/>
    </cs:effectRef>
    <cs:fontRef idx="minor">
      <a:schemeClr val="dk1"/>
    </cs:fontRef>
    <cs:spPr>
      <a:solidFill>
        <a:schemeClr val="phClr">
          <a:lumMod val="60000"/>
          <a:lumOff val="40000"/>
        </a:schemeClr>
      </a:solidFill>
      <a:effectLst>
        <a:glow rad="63500">
          <a:schemeClr val="phClr">
            <a:satMod val="175000"/>
            <a:alpha val="25000"/>
          </a:schemeClr>
        </a:glow>
      </a:effectLst>
    </cs:spPr>
  </cs:dataPointMarker>
  <cs:dataPointMarkerLayout symbol="circle" size="4"/>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lt1">
        <a:lumMod val="75000"/>
      </a:schemeClr>
    </cs:fontRef>
    <cs:spPr>
      <a:ln w="9525">
        <a:solidFill>
          <a:schemeClr val="dk1">
            <a:lumMod val="50000"/>
            <a:lumOff val="50000"/>
          </a:schemeClr>
        </a:solidFill>
      </a:ln>
    </cs:spPr>
    <cs:defRPr sz="900" kern="1200"/>
  </cs:dataTable>
  <cs:downBar>
    <cs:lnRef idx="0"/>
    <cs:fillRef idx="0"/>
    <cs:effectRef idx="0"/>
    <cs:fontRef idx="minor">
      <a:schemeClr val="lt1"/>
    </cs:fontRef>
    <cs:spPr>
      <a:solidFill>
        <a:schemeClr val="dk1">
          <a:lumMod val="50000"/>
          <a:lumOff val="50000"/>
        </a:schemeClr>
      </a:solidFill>
      <a:ln w="9525">
        <a:solidFill>
          <a:schemeClr val="dk1">
            <a:lumMod val="75000"/>
          </a:schemeClr>
        </a:solidFill>
        <a:round/>
      </a:ln>
    </cs:spPr>
  </cs:downBar>
  <cs:dropLine>
    <cs:lnRef idx="0"/>
    <cs:fillRef idx="0"/>
    <cs:effectRef idx="0"/>
    <cs:fontRef idx="minor">
      <a:schemeClr val="dk1"/>
    </cs:fontRef>
    <cs:spPr>
      <a:ln w="9525">
        <a:solidFill>
          <a:schemeClr val="lt1">
            <a:lumMod val="50000"/>
          </a:schemeClr>
        </a:solidFill>
        <a:round/>
      </a:ln>
    </cs:spPr>
  </cs:dropLine>
  <cs:errorBar>
    <cs:lnRef idx="0"/>
    <cs:fillRef idx="0"/>
    <cs:effectRef idx="0"/>
    <cs:fontRef idx="minor">
      <a:schemeClr val="dk1"/>
    </cs:fontRef>
    <cs:spPr>
      <a:ln w="9525">
        <a:solidFill>
          <a:schemeClr val="lt1">
            <a:lumMod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0">
              <a:schemeClr val="dk1">
                <a:lumMod val="65000"/>
                <a:lumOff val="35000"/>
              </a:schemeClr>
            </a:gs>
            <a:gs pos="100000">
              <a:schemeClr val="dk1">
                <a:lumMod val="75000"/>
                <a:lumOff val="25000"/>
              </a:schemeClr>
            </a:gs>
          </a:gsLst>
          <a:lin ang="10800000" scaled="0"/>
        </a:gradFill>
        <a:round/>
      </a:ln>
      <a:effectLst/>
    </cs:spPr>
  </cs:gridlineMajor>
  <cs:gridlineMinor>
    <cs:lnRef idx="0"/>
    <cs:fillRef idx="0"/>
    <cs:effectRef idx="0"/>
    <cs:fontRef idx="minor">
      <a:schemeClr val="dk1"/>
    </cs:fontRef>
    <cs:spPr>
      <a:ln w="9525" cap="flat" cmpd="sng" algn="ctr">
        <a:gradFill>
          <a:gsLst>
            <a:gs pos="100000">
              <a:schemeClr val="dk1">
                <a:lumMod val="75000"/>
                <a:lumOff val="25000"/>
                <a:alpha val="25000"/>
              </a:schemeClr>
            </a:gs>
            <a:gs pos="0">
              <a:schemeClr val="dk1">
                <a:lumMod val="65000"/>
                <a:lumOff val="35000"/>
                <a:alpha val="25000"/>
              </a:schemeClr>
            </a:gs>
          </a:gsLst>
          <a:lin ang="5400000" scaled="0"/>
        </a:gradFill>
        <a:round/>
      </a:ln>
    </cs:spPr>
  </cs:gridlineMinor>
  <cs:hiLoLine>
    <cs:lnRef idx="0"/>
    <cs:fillRef idx="0"/>
    <cs:effectRef idx="0"/>
    <cs:fontRef idx="minor">
      <a:schemeClr val="dk1"/>
    </cs:fontRef>
    <cs:spPr>
      <a:ln w="9525">
        <a:solidFill>
          <a:schemeClr val="lt1">
            <a:lumMod val="50000"/>
          </a:schemeClr>
        </a:solidFill>
        <a:round/>
      </a:ln>
    </cs:spPr>
  </cs:hiLoLine>
  <cs:leaderLine>
    <cs:lnRef idx="0"/>
    <cs:fillRef idx="0"/>
    <cs:effectRef idx="0"/>
    <cs:fontRef idx="minor">
      <a:schemeClr val="dk1"/>
    </cs:fontRef>
    <cs:spPr>
      <a:ln w="9525">
        <a:solidFill>
          <a:schemeClr val="lt1">
            <a:lumMod val="50000"/>
          </a:schemeClr>
        </a:solidFill>
        <a:round/>
      </a:ln>
    </cs:spPr>
  </cs:leaderLine>
  <cs:legend>
    <cs:lnRef idx="0"/>
    <cs:fillRef idx="0"/>
    <cs:effectRef idx="0"/>
    <cs:fontRef idx="minor">
      <a:schemeClr val="lt1">
        <a:lumMod val="7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lt1">
        <a:lumMod val="75000"/>
      </a:schemeClr>
    </cs:fontRef>
    <cs:defRPr sz="900" kern="1200"/>
  </cs:seriesAxis>
  <cs:seriesLine>
    <cs:lnRef idx="0"/>
    <cs:fillRef idx="0"/>
    <cs:effectRef idx="0"/>
    <cs:fontRef idx="minor">
      <a:schemeClr val="dk1"/>
    </cs:fontRef>
    <cs:spPr>
      <a:ln w="9525">
        <a:solidFill>
          <a:schemeClr val="lt1">
            <a:lumMod val="50000"/>
          </a:schemeClr>
        </a:solidFill>
        <a:round/>
      </a:ln>
    </cs:spPr>
  </cs:seriesLine>
  <cs:title>
    <cs:lnRef idx="0"/>
    <cs:fillRef idx="0"/>
    <cs:effectRef idx="0"/>
    <cs:fontRef idx="minor">
      <a:schemeClr val="lt1">
        <a:lumMod val="85000"/>
      </a:schemeClr>
    </cs:fontRef>
    <cs:defRPr sz="1400" b="1" kern="1200" cap="none" baseline="0"/>
  </cs:title>
  <cs:trendline>
    <cs:lnRef idx="0">
      <cs:styleClr val="auto"/>
    </cs:lnRef>
    <cs:fillRef idx="0"/>
    <cs:effectRef idx="0"/>
    <cs:fontRef idx="minor">
      <a:schemeClr val="lt1"/>
    </cs:fontRef>
    <cs:spPr>
      <a:ln w="25400" cap="rnd">
        <a:solidFill>
          <a:schemeClr val="phClr">
            <a:alpha val="50000"/>
          </a:schemeClr>
        </a:solidFill>
      </a:ln>
    </cs:spPr>
  </cs:trendline>
  <cs:trendlineLabel>
    <cs:lnRef idx="0"/>
    <cs:fillRef idx="0"/>
    <cs:effectRef idx="0"/>
    <cs:fontRef idx="minor">
      <a:schemeClr val="lt1">
        <a:lumMod val="75000"/>
      </a:schemeClr>
    </cs:fontRef>
    <cs:defRPr sz="900" kern="1200"/>
  </cs:trendlineLabel>
  <cs:upBar>
    <cs:lnRef idx="0"/>
    <cs:fillRef idx="0"/>
    <cs:effectRef idx="0"/>
    <cs:fontRef idx="minor">
      <a:schemeClr val="dk1"/>
    </cs:fontRef>
    <cs:spPr>
      <a:solidFill>
        <a:schemeClr val="lt1">
          <a:lumMod val="85000"/>
        </a:schemeClr>
      </a:solidFill>
      <a:ln w="9525">
        <a:solidFill>
          <a:schemeClr val="dk1">
            <a:lumMod val="50000"/>
          </a:schemeClr>
        </a:solidFill>
        <a:round/>
      </a:ln>
    </cs:spPr>
  </cs:upBar>
  <cs:valueAxis>
    <cs:lnRef idx="0"/>
    <cs:fillRef idx="0"/>
    <cs:effectRef idx="0"/>
    <cs:fontRef idx="minor">
      <a:schemeClr val="lt1">
        <a:lumMod val="75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heets/_rels/sheet1.xml.rels><?xml version="1.0" encoding="UTF-8" standalone="yes"?>
<Relationships xmlns="http://schemas.openxmlformats.org/package/2006/relationships"><Relationship Id="rId1" Type="http://schemas.openxmlformats.org/officeDocument/2006/relationships/drawing" Target="../drawings/drawing2.xml"/></Relationships>
</file>

<file path=xl/chartsheets/_rels/sheet2.xml.rels><?xml version="1.0" encoding="UTF-8" standalone="yes"?>
<Relationships xmlns="http://schemas.openxmlformats.org/package/2006/relationships"><Relationship Id="rId1" Type="http://schemas.openxmlformats.org/officeDocument/2006/relationships/drawing" Target="../drawings/drawing3.xml"/></Relationships>
</file>

<file path=xl/chartsheets/sheet1.xml><?xml version="1.0" encoding="utf-8"?>
<chartsheet xmlns="http://schemas.openxmlformats.org/spreadsheetml/2006/main" xmlns:r="http://schemas.openxmlformats.org/officeDocument/2006/relationships">
  <sheetPr/>
  <sheetViews>
    <sheetView zoomScale="122" workbookViewId="0" zoomToFit="1"/>
  </sheetViews>
  <pageMargins left="0.7" right="0.7" top="0.75" bottom="0.75" header="0.3" footer="0.3"/>
  <drawing r:id="rId1"/>
</chartsheet>
</file>

<file path=xl/chartsheets/sheet2.xml><?xml version="1.0" encoding="utf-8"?>
<chartsheet xmlns="http://schemas.openxmlformats.org/spreadsheetml/2006/main" xmlns:r="http://schemas.openxmlformats.org/officeDocument/2006/relationships">
  <sheetPr/>
  <sheetViews>
    <sheetView zoomScale="122" workbookViewId="0" zoomToFit="1"/>
  </sheetViews>
  <pageMargins left="0.7" right="0.7" top="0.75" bottom="0.75" header="0.3" footer="0.3"/>
  <drawing r:id="rId1"/>
</chartsheet>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4</xdr:col>
      <xdr:colOff>171450</xdr:colOff>
      <xdr:row>0</xdr:row>
      <xdr:rowOff>0</xdr:rowOff>
    </xdr:from>
    <xdr:to>
      <xdr:col>13</xdr:col>
      <xdr:colOff>431800</xdr:colOff>
      <xdr:row>4</xdr:row>
      <xdr:rowOff>50800</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609850" y="0"/>
          <a:ext cx="5746750" cy="11176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0" y="0"/>
    <xdr:ext cx="8650574" cy="6277131"/>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xdr:wsDr xmlns:xdr="http://schemas.openxmlformats.org/drawingml/2006/spreadsheetDrawing" xmlns:a="http://schemas.openxmlformats.org/drawingml/2006/main">
  <xdr:absoluteAnchor>
    <xdr:pos x="0" y="0"/>
    <xdr:ext cx="8650574" cy="6277131"/>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Elizabeth Leo" refreshedDate="43740.617940393517" createdVersion="5" refreshedVersion="5" minRefreshableVersion="3" recordCount="223">
  <cacheSource type="worksheet">
    <worksheetSource name="UninsLT18to64"/>
  </cacheSource>
  <cacheFields count="19">
    <cacheField name="ZIP Code" numFmtId="0">
      <sharedItems containsSemiMixedTypes="0" containsString="0" containsNumber="1" containsInteger="1" minValue="20601" maxValue="21930" count="468">
        <n v="20601"/>
        <n v="20602"/>
        <n v="20603"/>
        <n v="20607"/>
        <n v="20613"/>
        <n v="20616"/>
        <n v="20619"/>
        <n v="20622"/>
        <n v="20634"/>
        <n v="20636"/>
        <n v="20639"/>
        <n v="20640"/>
        <n v="20646"/>
        <n v="20650"/>
        <n v="20653"/>
        <n v="20657"/>
        <n v="20659"/>
        <n v="20678"/>
        <n v="20685"/>
        <n v="20705"/>
        <n v="20706"/>
        <n v="20707"/>
        <n v="20708"/>
        <n v="20710"/>
        <n v="20711"/>
        <n v="20712"/>
        <n v="20715"/>
        <n v="20716"/>
        <n v="20720"/>
        <n v="20721"/>
        <n v="20722"/>
        <n v="20723"/>
        <n v="20724"/>
        <n v="20732"/>
        <n v="20735"/>
        <n v="20737"/>
        <n v="20740"/>
        <n v="20743"/>
        <n v="20744"/>
        <n v="20745"/>
        <n v="20746"/>
        <n v="20747"/>
        <n v="20748"/>
        <n v="20754"/>
        <n v="20764"/>
        <n v="20769"/>
        <n v="20770"/>
        <n v="20772"/>
        <n v="20774"/>
        <n v="20781"/>
        <n v="20782"/>
        <n v="20783"/>
        <n v="20784"/>
        <n v="20785"/>
        <n v="20794"/>
        <n v="20814"/>
        <n v="20815"/>
        <n v="20817"/>
        <n v="20832"/>
        <n v="20833"/>
        <n v="20841"/>
        <n v="20850"/>
        <n v="20851"/>
        <n v="20852"/>
        <n v="20853"/>
        <n v="20854"/>
        <n v="20855"/>
        <n v="20866"/>
        <n v="20871"/>
        <n v="20872"/>
        <n v="20874"/>
        <n v="20876"/>
        <n v="20877"/>
        <n v="20878"/>
        <n v="20879"/>
        <n v="20882"/>
        <n v="20886"/>
        <n v="20895"/>
        <n v="20901"/>
        <n v="20902"/>
        <n v="20903"/>
        <n v="20904"/>
        <n v="20905"/>
        <n v="20906"/>
        <n v="20910"/>
        <n v="20912"/>
        <n v="21001"/>
        <n v="21009"/>
        <n v="21012"/>
        <n v="21014"/>
        <n v="21015"/>
        <n v="21017"/>
        <n v="21029"/>
        <n v="21030"/>
        <n v="21032"/>
        <n v="21037"/>
        <n v="21040"/>
        <n v="21042"/>
        <n v="21043"/>
        <n v="21044"/>
        <n v="21045"/>
        <n v="21046"/>
        <n v="21047"/>
        <n v="21048"/>
        <n v="21050"/>
        <n v="21053"/>
        <n v="21054"/>
        <n v="21060"/>
        <n v="21061"/>
        <n v="21074"/>
        <n v="21075"/>
        <n v="21076"/>
        <n v="21078"/>
        <n v="21084"/>
        <n v="21085"/>
        <n v="21090"/>
        <n v="21093"/>
        <n v="21108"/>
        <n v="21113"/>
        <n v="21114"/>
        <n v="21117"/>
        <n v="21122"/>
        <n v="21133"/>
        <n v="21136"/>
        <n v="21144"/>
        <n v="21146"/>
        <n v="21152"/>
        <n v="21154"/>
        <n v="21157"/>
        <n v="21158"/>
        <n v="21163"/>
        <n v="21201"/>
        <n v="21202"/>
        <n v="21204"/>
        <n v="21205"/>
        <n v="21206"/>
        <n v="21207"/>
        <n v="21208"/>
        <n v="21209"/>
        <n v="21210"/>
        <n v="21211"/>
        <n v="21212"/>
        <n v="21213"/>
        <n v="21214"/>
        <n v="21215"/>
        <n v="21216"/>
        <n v="21217"/>
        <n v="21218"/>
        <n v="21219"/>
        <n v="21220"/>
        <n v="21221"/>
        <n v="21222"/>
        <n v="21223"/>
        <n v="21224"/>
        <n v="21225"/>
        <n v="21226"/>
        <n v="21227"/>
        <n v="21228"/>
        <n v="21229"/>
        <n v="21230"/>
        <n v="21231"/>
        <n v="21234"/>
        <n v="21236"/>
        <n v="21237"/>
        <n v="21239"/>
        <n v="21244"/>
        <n v="21286"/>
        <n v="21401"/>
        <n v="21403"/>
        <n v="21409"/>
        <n v="21502"/>
        <n v="21532"/>
        <n v="21536"/>
        <n v="21550"/>
        <n v="21601"/>
        <n v="21613"/>
        <n v="21617"/>
        <n v="21619"/>
        <n v="21620"/>
        <n v="21629"/>
        <n v="21632"/>
        <n v="21639"/>
        <n v="21643"/>
        <n v="21649"/>
        <n v="21651"/>
        <n v="21655"/>
        <n v="21660"/>
        <n v="21666"/>
        <n v="21701"/>
        <n v="21702"/>
        <n v="21703"/>
        <n v="21704"/>
        <n v="21713"/>
        <n v="21722"/>
        <n v="21740"/>
        <n v="21742"/>
        <n v="21757"/>
        <n v="21769"/>
        <n v="21771"/>
        <n v="21774"/>
        <n v="21783"/>
        <n v="21784"/>
        <n v="21787"/>
        <n v="21788"/>
        <n v="21791"/>
        <n v="21793"/>
        <n v="21795"/>
        <n v="21797"/>
        <n v="21801"/>
        <n v="21804"/>
        <n v="21811"/>
        <n v="21817"/>
        <n v="21822"/>
        <n v="21826"/>
        <n v="21842"/>
        <n v="21851"/>
        <n v="21853"/>
        <n v="21863"/>
        <n v="21875"/>
        <n v="21901"/>
        <n v="21904"/>
        <n v="21911"/>
        <n v="21921"/>
        <n v="20736" u="1"/>
        <n v="21162" u="1"/>
        <n v="21659" u="1"/>
        <n v="21872" u="1"/>
        <n v="20675" u="1"/>
        <n v="21669" u="1"/>
        <n v="21111" u="1"/>
        <n v="21679" u="1"/>
        <n v="21750" u="1"/>
        <n v="21821" u="1"/>
        <n v="20624" u="1"/>
        <n v="20695" u="1"/>
        <n v="20837" u="1"/>
        <n v="21405" u="1"/>
        <n v="21902" u="1"/>
        <n v="20776" u="1"/>
        <n v="21131" u="1"/>
        <n v="21557" u="1"/>
        <n v="21628" u="1"/>
        <n v="21770" u="1"/>
        <n v="21841" u="1"/>
        <n v="21912" u="1"/>
        <n v="21638" u="1"/>
        <n v="21780" u="1"/>
        <n v="21648" u="1"/>
        <n v="21719" u="1"/>
        <n v="21790" u="1"/>
        <n v="21861" u="1"/>
        <n v="20664" u="1"/>
        <n v="21161" u="1"/>
        <n v="21658" u="1"/>
        <n v="21871" u="1"/>
        <n v="20674" u="1"/>
        <n v="20816" u="1"/>
        <n v="21668" u="1"/>
        <n v="21810" u="1"/>
        <n v="20684" u="1"/>
        <n v="20755" u="1"/>
        <n v="21252" u="1"/>
        <n v="21607" u="1"/>
        <n v="21678" u="1"/>
        <n v="20623" u="1"/>
        <n v="20765" u="1"/>
        <n v="21120" u="1"/>
        <n v="21830" u="1"/>
        <n v="21130" u="1"/>
        <n v="21627" u="1"/>
        <n v="21840" u="1"/>
        <n v="20714" u="1"/>
        <n v="21140" u="1"/>
        <n v="21779" u="1"/>
        <n v="21850" u="1"/>
        <n v="21647" u="1"/>
        <n v="21718" u="1"/>
        <n v="21160" u="1"/>
        <n v="21657" u="1"/>
        <n v="21028" u="1"/>
        <n v="21667" u="1"/>
        <n v="21738" u="1"/>
        <n v="20612" u="1"/>
        <n v="20896" u="1"/>
        <n v="21251" u="1"/>
        <n v="21677" u="1"/>
        <n v="21890" u="1"/>
        <n v="20693" u="1"/>
        <n v="21545" u="1"/>
        <n v="21758" u="1"/>
        <n v="21829" u="1"/>
        <n v="20632" u="1"/>
        <n v="21555" u="1"/>
        <n v="21626" u="1"/>
        <n v="21636" u="1"/>
        <n v="21778" u="1"/>
        <n v="21849" u="1"/>
        <n v="21920" u="1"/>
        <n v="21717" u="1"/>
        <n v="21930" u="1"/>
        <n v="20662" u="1"/>
        <n v="20733" u="1"/>
        <n v="21727" u="1"/>
        <n v="21798" u="1"/>
        <n v="21869" u="1"/>
        <n v="21240" u="1"/>
        <n v="21524" u="1"/>
        <n v="21737" u="1"/>
        <n v="20611" u="1"/>
        <n v="21250" u="1"/>
        <n v="21676" u="1"/>
        <n v="20621" u="1"/>
        <n v="20692" u="1"/>
        <n v="20763" u="1"/>
        <n v="21402" u="1"/>
        <n v="21057" u="1"/>
        <n v="21128" u="1"/>
        <n v="21625" u="1"/>
        <n v="21767" u="1"/>
        <n v="21838" u="1"/>
        <n v="21635" u="1"/>
        <n v="21777" u="1"/>
        <n v="21919" u="1"/>
        <n v="21077" u="1"/>
        <n v="21645" u="1"/>
        <n v="21716" u="1"/>
        <n v="21087" u="1"/>
        <n v="20742" u="1"/>
        <n v="21523" u="1"/>
        <n v="21665" u="1"/>
        <n v="21036" u="1"/>
        <n v="21675" u="1"/>
        <n v="21746" u="1"/>
        <n v="20620" u="1"/>
        <n v="20762" u="1"/>
        <n v="21543" u="1"/>
        <n v="21756" u="1"/>
        <n v="20630" u="1"/>
        <n v="20701" u="1"/>
        <n v="21056" u="1"/>
        <n v="21624" u="1"/>
        <n v="21766" u="1"/>
        <n v="21837" u="1"/>
        <n v="21634" u="1"/>
        <n v="21705" u="1"/>
        <n v="21776" u="1"/>
        <n v="21918" u="1"/>
        <n v="21005" u="1"/>
        <n v="21644" u="1"/>
        <n v="20660" u="1"/>
        <n v="21654" u="1"/>
        <n v="21867" u="1"/>
        <n v="20670" u="1"/>
        <n v="20812" u="1"/>
        <n v="21522" u="1"/>
        <n v="21664" u="1"/>
        <n v="20609" u="1"/>
        <n v="20680" u="1"/>
        <n v="20751" u="1"/>
        <n v="21035" u="1"/>
        <n v="20690" u="1"/>
        <n v="21542" u="1"/>
        <n v="21755" u="1"/>
        <n v="20629" u="1"/>
        <n v="20842" u="1"/>
        <n v="21623" u="1"/>
        <n v="21562" u="1"/>
        <n v="21917" u="1"/>
        <n v="20862" u="1"/>
        <n v="21714" u="1"/>
        <n v="21856" u="1"/>
        <n v="21156" u="1"/>
        <n v="21653" u="1"/>
        <n v="21866" u="1"/>
        <n v="21521" u="1"/>
        <n v="21663" u="1"/>
        <n v="21734" u="1"/>
        <n v="20608" u="1"/>
        <n v="21034" u="1"/>
        <n v="21105" u="1"/>
        <n v="21531" u="1"/>
        <n v="21673" u="1"/>
        <n v="20618" u="1"/>
        <n v="20689" u="1"/>
        <n v="21541" u="1"/>
        <n v="21612" u="1"/>
        <n v="21754" u="1"/>
        <n v="20628" u="1"/>
        <n v="21622" u="1"/>
        <n v="21835" u="1"/>
        <n v="21561" u="1"/>
        <n v="21916" u="1"/>
        <n v="20861" u="1"/>
        <n v="20658" u="1"/>
        <n v="21013" u="1"/>
        <n v="21155" u="1"/>
        <n v="21652" u="1"/>
        <n v="21723" u="1"/>
        <n v="21794" u="1"/>
        <n v="21865" u="1"/>
        <n v="21520" u="1"/>
        <n v="21662" u="1"/>
        <n v="21733" u="1"/>
        <n v="21104" u="1"/>
        <n v="21530" u="1"/>
        <n v="21672" u="1"/>
        <n v="21814" u="1"/>
        <n v="20617" u="1"/>
        <n v="20688" u="1"/>
        <n v="20759" u="1"/>
        <n v="21540" u="1"/>
        <n v="21824" u="1"/>
        <n v="20637" u="1"/>
        <n v="20779" u="1"/>
        <n v="21631" u="1"/>
        <n v="21773" u="1"/>
        <n v="21915" u="1"/>
        <n v="20860" u="1"/>
        <n v="21641" u="1"/>
        <n v="21864" u="1"/>
        <n v="20667" u="1"/>
        <n v="20880" u="1"/>
        <n v="21661" u="1"/>
        <n v="21874" u="1"/>
        <n v="20606" u="1"/>
        <n v="20677" u="1"/>
        <n v="21529" u="1"/>
        <n v="21671" u="1"/>
        <n v="21813" u="1"/>
        <n v="20687" u="1"/>
        <n v="20758" u="1"/>
        <n v="21539" u="1"/>
        <n v="21610" u="1"/>
        <n v="20626" u="1"/>
        <n v="20839" u="1"/>
        <n v="21052" u="1"/>
        <n v="21762" u="1"/>
        <n v="20778" u="1"/>
        <n v="21914" u="1"/>
        <n v="21640" u="1"/>
        <n v="21711" u="1"/>
        <n v="21782" u="1"/>
        <n v="21082" u="1"/>
        <n v="21153" u="1"/>
        <n v="21650" u="1"/>
        <n v="21802" u="1"/>
        <n v="20676" u="1"/>
        <n v="20818" u="1"/>
        <n v="21031" u="1"/>
        <n v="21102" u="1"/>
        <n v="20615" u="1"/>
        <n v="20686" u="1"/>
        <n v="20899" u="1"/>
        <n v="21538" u="1"/>
        <n v="20625" u="1"/>
        <n v="20838" u="1"/>
        <n v="21051" u="1"/>
        <n v="21903" u="1"/>
        <n v="20777" u="1"/>
        <n v="21132" u="1"/>
        <n v="21913" u="1"/>
        <n v="20645" u="1"/>
        <n v="21071" u="1"/>
        <n v="21710" u="1"/>
        <n v="21781" u="1"/>
        <n v="20868" u="1"/>
        <n v="21010" u="1"/>
        <n v="21862" u="1"/>
      </sharedItems>
    </cacheField>
    <cacheField name="City" numFmtId="0">
      <sharedItems/>
    </cacheField>
    <cacheField name="County" numFmtId="0">
      <sharedItems count="24">
        <s v="Charles"/>
        <s v="Prince Georges"/>
        <s v="Saint Marys"/>
        <s v="Calvert"/>
        <s v="Anne Arundel"/>
        <s v="Howard"/>
        <s v="Montgomery"/>
        <s v="Harford"/>
        <s v="Baltimore"/>
        <s v="Carroll"/>
        <s v="Baltimore City"/>
        <s v="Allegany"/>
        <s v="Garrett"/>
        <s v="Talbot"/>
        <s v="Dorchester"/>
        <s v="Queen Annes"/>
        <s v="Kent"/>
        <s v="Caroline"/>
        <s v="Frederick"/>
        <s v="Washington"/>
        <s v="Wicomico"/>
        <s v="Worcester"/>
        <s v="Somerset"/>
        <s v="Cecil"/>
      </sharedItems>
    </cacheField>
    <cacheField name="Below 138% of FPL - Uninsured" numFmtId="0">
      <sharedItems containsSemiMixedTypes="0" containsString="0" containsNumber="1" containsInteger="1" minValue="0" maxValue="4761"/>
    </cacheField>
    <cacheField name="Adjusted Below 138% of FPL - Uninsured" numFmtId="3">
      <sharedItems containsSemiMixedTypes="0" containsString="0" containsNumber="1" minValue="0" maxValue="2548.5592293056429"/>
    </cacheField>
    <cacheField name="MOE - Below 138% of FPL - Uninsured" numFmtId="0">
      <sharedItems containsSemiMixedTypes="0" containsString="0" containsNumber="1" containsInteger="1" minValue="62" maxValue="1146"/>
    </cacheField>
    <cacheField name="138 to 199% of FPL - Uninsured" numFmtId="0">
      <sharedItems containsSemiMixedTypes="0" containsString="0" containsNumber="1" containsInteger="1" minValue="0" maxValue="3134"/>
    </cacheField>
    <cacheField name="Adjusted 138 to 199% of FPL - Uninsured" numFmtId="3">
      <sharedItems containsSemiMixedTypes="0" containsString="0" containsNumber="1" minValue="0" maxValue="1677.6275204040924"/>
    </cacheField>
    <cacheField name="MOE - 139 to 199% of FPL - Uninsured" numFmtId="0">
      <sharedItems containsSemiMixedTypes="0" containsString="0" containsNumber="1" containsInteger="1" minValue="15" maxValue="764"/>
    </cacheField>
    <cacheField name="200 to 399% of FPL - Uninsured" numFmtId="0">
      <sharedItems containsSemiMixedTypes="0" containsString="0" containsNumber="1" containsInteger="1" minValue="20" maxValue="6695"/>
    </cacheField>
    <cacheField name="Adjusted 200 to 399% of FPL - Uninsured" numFmtId="3">
      <sharedItems containsSemiMixedTypes="0" containsString="0" containsNumber="1" minValue="20" maxValue="3583.8277757196552"/>
    </cacheField>
    <cacheField name="MOE - 201 to 399% of FPL - Uninsured" numFmtId="0">
      <sharedItems containsSemiMixedTypes="0" containsString="0" containsNumber="1" containsInteger="1" minValue="37" maxValue="980"/>
    </cacheField>
    <cacheField name="400% FPL and over - Uninsured" numFmtId="0">
      <sharedItems containsSemiMixedTypes="0" containsString="0" containsNumber="1" containsInteger="1" minValue="3" maxValue="1767"/>
    </cacheField>
    <cacheField name="Adjusted 400% FPL and over - Uninsured" numFmtId="3">
      <sharedItems containsSemiMixedTypes="0" containsString="0" containsNumber="1" minValue="3" maxValue="1061.6595342105229"/>
    </cacheField>
    <cacheField name="MOE - 400% FPL and over - Uninsured" numFmtId="0">
      <sharedItems containsSemiMixedTypes="0" containsString="0" containsNumber="1" containsInteger="1" minValue="17" maxValue="714"/>
    </cacheField>
    <cacheField name="Total" numFmtId="0">
      <sharedItems containsSemiMixedTypes="0" containsString="0" containsNumber="1" containsInteger="1" minValue="250" maxValue="16169"/>
    </cacheField>
    <cacheField name="Relative Standard Error - Total" numFmtId="10">
      <sharedItems containsSemiMixedTypes="0" containsString="0" containsNumber="1" minValue="4.5036064030170133E-3" maxValue="0.29127524772152835"/>
    </cacheField>
    <cacheField name="Adjusted Total" numFmtId="0">
      <sharedItems containsSemiMixedTypes="0" containsString="0" containsNumber="1" minValue="250" maxValue="3461.6000000000004"/>
    </cacheField>
    <cacheField name="Alternate Adj. Total" numFmtId="4">
      <sharedItems containsSemiMixedTypes="0" containsString="0" containsNumber="1" minValue="250" maxValue="8655.2518753713375"/>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223">
  <r>
    <x v="0"/>
    <s v="Waldorf"/>
    <x v="0"/>
    <n v="300"/>
    <n v="214.43275614518635"/>
    <n v="246"/>
    <n v="54"/>
    <n v="38.59789610613354"/>
    <n v="52"/>
    <n v="352"/>
    <n v="251.60110054368533"/>
    <n v="212"/>
    <n v="485"/>
    <n v="346.66628910138462"/>
    <n v="257"/>
    <n v="1191"/>
    <n v="6.1140900025509724E-2"/>
    <n v="688"/>
    <n v="851.2980418963898"/>
  </r>
  <r>
    <x v="1"/>
    <s v="Waldorf"/>
    <x v="0"/>
    <n v="153"/>
    <n v="153"/>
    <n v="175"/>
    <n v="71"/>
    <n v="71"/>
    <n v="84"/>
    <n v="429"/>
    <n v="429.00000000000006"/>
    <n v="286"/>
    <n v="145"/>
    <n v="145"/>
    <n v="80"/>
    <n v="798"/>
    <n v="9.1251644023035192E-2"/>
    <n v="798"/>
    <n v="798"/>
  </r>
  <r>
    <x v="2"/>
    <s v="Waldorf"/>
    <x v="0"/>
    <n v="263"/>
    <n v="192.65259672707245"/>
    <n v="231"/>
    <n v="75"/>
    <n v="54.938953439279217"/>
    <n v="116"/>
    <n v="316"/>
    <n v="231.4761238241631"/>
    <n v="199"/>
    <n v="423"/>
    <n v="309.85569739753475"/>
    <n v="211"/>
    <n v="1077"/>
    <n v="6.7612638746872872E-2"/>
    <n v="672"/>
    <n v="788.92337138804953"/>
  </r>
  <r>
    <x v="3"/>
    <s v="Accokeek"/>
    <x v="1"/>
    <n v="25"/>
    <n v="25"/>
    <n v="80"/>
    <n v="0"/>
    <n v="0"/>
    <n v="38"/>
    <n v="141"/>
    <n v="141"/>
    <n v="131"/>
    <n v="248"/>
    <n v="248"/>
    <n v="183"/>
    <n v="414"/>
    <n v="0.17589085007338667"/>
    <n v="414"/>
    <n v="414"/>
  </r>
  <r>
    <x v="4"/>
    <s v="Brandywine"/>
    <x v="1"/>
    <n v="234"/>
    <n v="234"/>
    <n v="257"/>
    <n v="109"/>
    <n v="109"/>
    <n v="115"/>
    <n v="229"/>
    <n v="229"/>
    <n v="125"/>
    <n v="232"/>
    <n v="232.00000000000003"/>
    <n v="179"/>
    <n v="804"/>
    <n v="9.0570661604952835E-2"/>
    <n v="804"/>
    <n v="804"/>
  </r>
  <r>
    <x v="5"/>
    <s v="Bryans Road"/>
    <x v="0"/>
    <n v="99"/>
    <n v="99"/>
    <n v="129"/>
    <n v="21"/>
    <n v="21"/>
    <n v="50"/>
    <n v="89"/>
    <n v="89"/>
    <n v="117"/>
    <n v="174"/>
    <n v="174"/>
    <n v="173"/>
    <n v="383"/>
    <n v="0.19012744629342582"/>
    <n v="383"/>
    <n v="383"/>
  </r>
  <r>
    <x v="6"/>
    <s v="California"/>
    <x v="2"/>
    <n v="283"/>
    <n v="283"/>
    <n v="390"/>
    <n v="35"/>
    <n v="35"/>
    <n v="67"/>
    <n v="95"/>
    <n v="95"/>
    <n v="115"/>
    <n v="149"/>
    <n v="149"/>
    <n v="111"/>
    <n v="562"/>
    <n v="0.12957083973377595"/>
    <n v="562"/>
    <n v="562"/>
  </r>
  <r>
    <x v="7"/>
    <s v="Charlotte Hall"/>
    <x v="2"/>
    <n v="159"/>
    <n v="159"/>
    <n v="231"/>
    <n v="0"/>
    <n v="0"/>
    <n v="34"/>
    <n v="409"/>
    <n v="409"/>
    <n v="558"/>
    <n v="131"/>
    <n v="131"/>
    <n v="114"/>
    <n v="699"/>
    <n v="0.10417569660998867"/>
    <n v="699"/>
    <n v="699"/>
  </r>
  <r>
    <x v="8"/>
    <s v="Great Mills"/>
    <x v="2"/>
    <n v="97"/>
    <n v="97"/>
    <n v="144"/>
    <n v="0"/>
    <n v="0"/>
    <n v="34"/>
    <n v="314"/>
    <n v="314"/>
    <n v="258"/>
    <n v="87"/>
    <n v="87"/>
    <n v="132"/>
    <n v="498"/>
    <n v="0.14622251391642987"/>
    <n v="498"/>
    <n v="498"/>
  </r>
  <r>
    <x v="9"/>
    <s v="Hollywood"/>
    <x v="2"/>
    <n v="0"/>
    <n v="0"/>
    <n v="76"/>
    <n v="75"/>
    <n v="75"/>
    <n v="110"/>
    <n v="207"/>
    <n v="207"/>
    <n v="203"/>
    <n v="44"/>
    <n v="44"/>
    <n v="69"/>
    <n v="326"/>
    <n v="0.22337058874350332"/>
    <n v="326"/>
    <n v="326"/>
  </r>
  <r>
    <x v="10"/>
    <s v="Huntingtown"/>
    <x v="3"/>
    <n v="114"/>
    <n v="114"/>
    <n v="171"/>
    <n v="83"/>
    <n v="83"/>
    <n v="114"/>
    <n v="370"/>
    <n v="370"/>
    <n v="368"/>
    <n v="217"/>
    <n v="217"/>
    <n v="144"/>
    <n v="784"/>
    <n v="9.2881137666303681E-2"/>
    <n v="784"/>
    <n v="784"/>
  </r>
  <r>
    <x v="11"/>
    <s v="Indian Head"/>
    <x v="0"/>
    <n v="155"/>
    <n v="155"/>
    <n v="140"/>
    <n v="88"/>
    <n v="88"/>
    <n v="68"/>
    <n v="132"/>
    <n v="132"/>
    <n v="89"/>
    <n v="133"/>
    <n v="133"/>
    <n v="84"/>
    <n v="508"/>
    <n v="0.14334411797319307"/>
    <n v="508"/>
    <n v="508"/>
  </r>
  <r>
    <x v="12"/>
    <s v="La Plata"/>
    <x v="0"/>
    <n v="79"/>
    <n v="79"/>
    <n v="124"/>
    <n v="202"/>
    <n v="202"/>
    <n v="200"/>
    <n v="263"/>
    <n v="263"/>
    <n v="190"/>
    <n v="291"/>
    <n v="291"/>
    <n v="162"/>
    <n v="835"/>
    <n v="8.7208158000457586E-2"/>
    <n v="835"/>
    <n v="835"/>
  </r>
  <r>
    <x v="13"/>
    <s v="Leonardtown"/>
    <x v="2"/>
    <n v="310"/>
    <n v="310"/>
    <n v="358"/>
    <n v="38"/>
    <n v="38"/>
    <n v="61"/>
    <n v="220"/>
    <n v="220"/>
    <n v="189"/>
    <n v="281"/>
    <n v="281"/>
    <n v="203"/>
    <n v="849"/>
    <n v="8.5770096502216828E-2"/>
    <n v="849"/>
    <n v="849"/>
  </r>
  <r>
    <x v="14"/>
    <s v="Lexington Park"/>
    <x v="2"/>
    <n v="286"/>
    <n v="196.23416358380405"/>
    <n v="226"/>
    <n v="385"/>
    <n v="264.16137405512086"/>
    <n v="300"/>
    <n v="679"/>
    <n v="465.88460515175854"/>
    <n v="308"/>
    <n v="247"/>
    <n v="169.47495945873987"/>
    <n v="187"/>
    <n v="1597"/>
    <n v="4.5597252304559854E-2"/>
    <n v="803.2"/>
    <n v="1095.7551022494233"/>
  </r>
  <r>
    <x v="15"/>
    <s v="Lusby"/>
    <x v="3"/>
    <n v="314"/>
    <n v="243.90863816393505"/>
    <n v="263"/>
    <n v="262"/>
    <n v="203.51612483742349"/>
    <n v="284"/>
    <n v="528"/>
    <n v="410.13936608457863"/>
    <n v="394"/>
    <n v="243"/>
    <n v="188.75732189119813"/>
    <n v="145"/>
    <n v="1347"/>
    <n v="5.4059994009192341E-2"/>
    <n v="996"/>
    <n v="1046.3214509771353"/>
  </r>
  <r>
    <x v="16"/>
    <s v="Mechanicsville"/>
    <x v="2"/>
    <n v="163"/>
    <n v="128.1958055518048"/>
    <n v="200"/>
    <n v="188"/>
    <n v="147.85773891864605"/>
    <n v="213"/>
    <n v="641"/>
    <n v="504.13197152580909"/>
    <n v="473"/>
    <n v="482"/>
    <n v="379.08207531269886"/>
    <n v="358"/>
    <n v="1474"/>
    <n v="4.9402179057247003E-2"/>
    <n v="1127.2"/>
    <n v="1159.2675913089588"/>
  </r>
  <r>
    <x v="17"/>
    <s v="Prince Frederick"/>
    <x v="3"/>
    <n v="218"/>
    <n v="217.99999999999997"/>
    <n v="227"/>
    <n v="89"/>
    <n v="89"/>
    <n v="90"/>
    <n v="162"/>
    <n v="162"/>
    <n v="118"/>
    <n v="227"/>
    <n v="226.99999999999997"/>
    <n v="138"/>
    <n v="696"/>
    <n v="0.10462472978503173"/>
    <n v="696"/>
    <n v="696"/>
  </r>
  <r>
    <x v="18"/>
    <s v="Saint Leonard"/>
    <x v="3"/>
    <n v="186"/>
    <n v="185.99999999999997"/>
    <n v="198"/>
    <n v="37"/>
    <n v="37"/>
    <n v="47"/>
    <n v="51"/>
    <n v="51"/>
    <n v="79"/>
    <n v="89"/>
    <n v="89"/>
    <n v="77"/>
    <n v="363"/>
    <n v="0.20060278768700299"/>
    <n v="363"/>
    <n v="363"/>
  </r>
  <r>
    <x v="19"/>
    <s v="Beltsville"/>
    <x v="1"/>
    <n v="659"/>
    <n v="431.65537292390536"/>
    <n v="381"/>
    <n v="228"/>
    <n v="149.34358881130566"/>
    <n v="148"/>
    <n v="1322"/>
    <n v="865.93080880941261"/>
    <n v="524"/>
    <n v="934"/>
    <n v="611.78470153403271"/>
    <n v="294"/>
    <n v="3143"/>
    <n v="2.3168568861082432E-2"/>
    <n v="1325.6000000000001"/>
    <n v="2058.7144720786564"/>
  </r>
  <r>
    <x v="20"/>
    <s v="Lanham"/>
    <x v="1"/>
    <n v="1559"/>
    <n v="996.39853528569574"/>
    <n v="678"/>
    <n v="911"/>
    <n v="582.24442953513085"/>
    <n v="392"/>
    <n v="2183"/>
    <n v="1395.2136000825362"/>
    <n v="675"/>
    <n v="812"/>
    <n v="518.97088560101668"/>
    <n v="237"/>
    <n v="5465"/>
    <n v="1.3324576748468816E-2"/>
    <n v="2078.4"/>
    <n v="3492.8274505043796"/>
  </r>
  <r>
    <x v="21"/>
    <s v="Laurel"/>
    <x v="1"/>
    <n v="571"/>
    <n v="365.8619140177201"/>
    <n v="247"/>
    <n v="499"/>
    <n v="319.72871295068711"/>
    <n v="251"/>
    <n v="1307"/>
    <n v="837.44574714739088"/>
    <n v="409"/>
    <n v="594"/>
    <n v="380.59890880302231"/>
    <n v="206"/>
    <n v="2971"/>
    <n v="2.4509866014938434E-2"/>
    <n v="1142.4000000000001"/>
    <n v="1903.6352829188204"/>
  </r>
  <r>
    <x v="22"/>
    <s v="Laurel"/>
    <x v="1"/>
    <n v="938"/>
    <n v="620.26770106057256"/>
    <n v="558"/>
    <n v="401"/>
    <n v="265.16774853442388"/>
    <n v="234"/>
    <n v="1101"/>
    <n v="728.05409260947795"/>
    <n v="422"/>
    <n v="460"/>
    <n v="304.18245467789274"/>
    <n v="276"/>
    <n v="2900"/>
    <n v="2.5109935148407616E-2"/>
    <n v="1270.4000000000001"/>
    <n v="1917.671996882367"/>
  </r>
  <r>
    <x v="23"/>
    <s v="Bladensburg"/>
    <x v="1"/>
    <n v="469"/>
    <n v="283.00125973902192"/>
    <n v="347"/>
    <n v="516"/>
    <n v="311.36172713291114"/>
    <n v="306"/>
    <n v="556"/>
    <n v="335.49829512771043"/>
    <n v="472"/>
    <n v="178"/>
    <n v="107.40772757685693"/>
    <n v="175"/>
    <n v="1719"/>
    <n v="4.2361147138093122E-2"/>
    <n v="493.6"/>
    <n v="1037.2690095765004"/>
  </r>
  <r>
    <x v="24"/>
    <s v="Lothian"/>
    <x v="4"/>
    <n v="98"/>
    <n v="98"/>
    <n v="168"/>
    <n v="39"/>
    <n v="39"/>
    <n v="68"/>
    <n v="77"/>
    <n v="77"/>
    <n v="100"/>
    <n v="39"/>
    <n v="39"/>
    <n v="82"/>
    <n v="253"/>
    <n v="0.2878213910291782"/>
    <n v="253"/>
    <n v="253"/>
  </r>
  <r>
    <x v="25"/>
    <s v="Mount Rainier"/>
    <x v="1"/>
    <n v="381"/>
    <n v="219.21580146725711"/>
    <n v="243"/>
    <n v="503"/>
    <n v="289.41088750139193"/>
    <n v="257"/>
    <n v="682"/>
    <n v="392.40203832196681"/>
    <n v="316"/>
    <n v="165"/>
    <n v="94.935977013379059"/>
    <n v="132"/>
    <n v="1731"/>
    <n v="4.2067482339908771E-2"/>
    <n v="370.40000000000003"/>
    <n v="995.96470430399484"/>
  </r>
  <r>
    <x v="26"/>
    <s v="Bowie"/>
    <x v="1"/>
    <n v="215"/>
    <n v="157.21885772377749"/>
    <n v="172"/>
    <n v="311"/>
    <n v="227.41890582369672"/>
    <n v="204"/>
    <n v="255"/>
    <n v="186.4688777654105"/>
    <n v="130"/>
    <n v="459"/>
    <n v="335.64397997773892"/>
    <n v="170"/>
    <n v="1240"/>
    <n v="5.8724848330953296E-2"/>
    <n v="769.6"/>
    <n v="906.7506212906236"/>
  </r>
  <r>
    <x v="27"/>
    <s v="Bowie"/>
    <x v="1"/>
    <n v="78"/>
    <n v="53.683444075005788"/>
    <n v="89"/>
    <n v="140"/>
    <n v="96.354899621805259"/>
    <n v="119"/>
    <n v="420"/>
    <n v="289.06469886541578"/>
    <n v="228"/>
    <n v="520"/>
    <n v="357.88962716670522"/>
    <n v="197"/>
    <n v="1158"/>
    <n v="6.2883257280122701E-2"/>
    <n v="588.80000000000007"/>
    <n v="796.99266972893201"/>
  </r>
  <r>
    <x v="28"/>
    <s v="Bowie"/>
    <x v="1"/>
    <n v="132"/>
    <n v="132"/>
    <n v="182"/>
    <n v="203"/>
    <n v="203"/>
    <n v="211"/>
    <n v="232"/>
    <n v="232"/>
    <n v="153"/>
    <n v="274"/>
    <n v="274"/>
    <n v="134"/>
    <n v="841"/>
    <n v="8.6585983270371092E-2"/>
    <n v="841"/>
    <n v="841"/>
  </r>
  <r>
    <x v="29"/>
    <s v="Bowie"/>
    <x v="1"/>
    <n v="182"/>
    <n v="131.85519793329425"/>
    <n v="198"/>
    <n v="67"/>
    <n v="48.540100338080848"/>
    <n v="80"/>
    <n v="377"/>
    <n v="273.12862429039518"/>
    <n v="261"/>
    <n v="515"/>
    <n v="373.1067414046513"/>
    <n v="250"/>
    <n v="1141"/>
    <n v="6.3820168212429515E-2"/>
    <n v="688"/>
    <n v="826.63066396642159"/>
  </r>
  <r>
    <x v="30"/>
    <s v="Brentwood"/>
    <x v="1"/>
    <n v="299"/>
    <n v="183.31108935649209"/>
    <n v="154"/>
    <n v="145"/>
    <n v="88.896682129402521"/>
    <n v="79"/>
    <n v="398"/>
    <n v="244.00606543104968"/>
    <n v="159"/>
    <n v="331"/>
    <n v="202.92966748160163"/>
    <n v="140"/>
    <n v="1173"/>
    <n v="6.2079123555312941E-2"/>
    <n v="366.40000000000003"/>
    <n v="719.14350439854593"/>
  </r>
  <r>
    <x v="31"/>
    <s v="Laurel"/>
    <x v="5"/>
    <n v="532"/>
    <n v="370.02707676712032"/>
    <n v="444"/>
    <n v="371"/>
    <n v="258.04519827180764"/>
    <n v="226"/>
    <n v="728"/>
    <n v="506.35284189184893"/>
    <n v="319"/>
    <n v="1149"/>
    <n v="799.175021062822"/>
    <n v="461"/>
    <n v="2780"/>
    <n v="2.6193817241144633E-2"/>
    <n v="1466.4"/>
    <n v="1933.6001379935988"/>
  </r>
  <r>
    <x v="32"/>
    <s v="Laurel"/>
    <x v="4"/>
    <n v="378"/>
    <n v="245.01046932020947"/>
    <n v="414"/>
    <n v="47"/>
    <n v="30.464264703835568"/>
    <n v="70"/>
    <n v="237"/>
    <n v="153.61767520870276"/>
    <n v="209"/>
    <n v="665"/>
    <n v="431.03693676703512"/>
    <n v="459"/>
    <n v="1327"/>
    <n v="5.487476407715304E-2"/>
    <n v="536"/>
    <n v="860.12934599978291"/>
  </r>
  <r>
    <x v="33"/>
    <s v="Chesapeake Beach"/>
    <x v="3"/>
    <n v="237"/>
    <n v="237"/>
    <n v="243"/>
    <n v="40"/>
    <n v="40"/>
    <n v="59"/>
    <n v="119"/>
    <n v="119"/>
    <n v="102"/>
    <n v="93"/>
    <n v="93"/>
    <n v="71"/>
    <n v="489"/>
    <n v="0.14891372582900222"/>
    <n v="489"/>
    <n v="489"/>
  </r>
  <r>
    <x v="34"/>
    <s v="Clinton"/>
    <x v="1"/>
    <n v="607"/>
    <n v="463.63441056767925"/>
    <n v="480"/>
    <n v="106"/>
    <n v="80.964163954158153"/>
    <n v="110"/>
    <n v="603"/>
    <n v="460.57915909771094"/>
    <n v="271"/>
    <n v="972"/>
    <n v="742.42610720228038"/>
    <n v="303"/>
    <n v="2288"/>
    <n v="3.1826403815726434E-2"/>
    <n v="1614.4"/>
    <n v="1747.6038408218287"/>
  </r>
  <r>
    <x v="35"/>
    <s v="Riverdale"/>
    <x v="1"/>
    <n v="1545"/>
    <n v="877.23989100148196"/>
    <n v="608"/>
    <n v="1252"/>
    <n v="710.87659775654072"/>
    <n v="378"/>
    <n v="2155"/>
    <n v="1223.5935049243972"/>
    <n v="525"/>
    <n v="786"/>
    <n v="446.28514843182188"/>
    <n v="326"/>
    <n v="5738"/>
    <n v="1.2690625989958536E-2"/>
    <n v="1114.4000000000001"/>
    <n v="3257.9951421142414"/>
  </r>
  <r>
    <x v="36"/>
    <s v="College Park"/>
    <x v="1"/>
    <n v="961"/>
    <n v="618.37835391000613"/>
    <n v="341"/>
    <n v="488"/>
    <n v="314.01523070560143"/>
    <n v="239"/>
    <n v="1039"/>
    <n v="668.56931291622936"/>
    <n v="430"/>
    <n v="339"/>
    <n v="218.13762952704693"/>
    <n v="175"/>
    <n v="2827"/>
    <n v="2.5758334605724117E-2"/>
    <n v="1107.2"/>
    <n v="1819.1005270588839"/>
  </r>
  <r>
    <x v="37"/>
    <s v="Capitol Heights"/>
    <x v="1"/>
    <n v="1195"/>
    <n v="853.11254297156029"/>
    <n v="551"/>
    <n v="644"/>
    <n v="459.75270098216305"/>
    <n v="288"/>
    <n v="1518"/>
    <n v="1083.7027951722414"/>
    <n v="386"/>
    <n v="860"/>
    <n v="613.95547025568351"/>
    <n v="248"/>
    <n v="4217"/>
    <n v="1.7267918408912043E-2"/>
    <n v="2426.4"/>
    <n v="3010.5235093816482"/>
  </r>
  <r>
    <x v="38"/>
    <s v="Fort Washington"/>
    <x v="1"/>
    <n v="1407"/>
    <n v="966.53354606303174"/>
    <n v="845"/>
    <n v="405"/>
    <n v="278.21328084969997"/>
    <n v="194"/>
    <n v="1761"/>
    <n v="1209.7125619168437"/>
    <n v="536"/>
    <n v="1285"/>
    <n v="882.7260886218877"/>
    <n v="419"/>
    <n v="4858"/>
    <n v="1.4989463139230564E-2"/>
    <n v="2453.6"/>
    <n v="3337.1854774514632"/>
  </r>
  <r>
    <x v="39"/>
    <s v="Oxon Hill"/>
    <x v="1"/>
    <n v="1214"/>
    <n v="776.6510157429102"/>
    <n v="683"/>
    <n v="1064"/>
    <n v="680.68919336940405"/>
    <n v="502"/>
    <n v="1700"/>
    <n v="1087.5673202330704"/>
    <n v="515"/>
    <n v="603"/>
    <n v="385.76652594149499"/>
    <n v="264"/>
    <n v="4581"/>
    <n v="1.5895833208989758E-2"/>
    <n v="1749.6000000000001"/>
    <n v="2930.6740552868796"/>
  </r>
  <r>
    <x v="40"/>
    <s v="Suitland"/>
    <x v="1"/>
    <n v="459"/>
    <n v="324.87008171905666"/>
    <n v="298"/>
    <n v="465"/>
    <n v="329.11674945394628"/>
    <n v="371"/>
    <n v="1133"/>
    <n v="801.91242393832511"/>
    <n v="396"/>
    <n v="653"/>
    <n v="462.17900514715473"/>
    <n v="293"/>
    <n v="2710"/>
    <n v="2.6870410306414051E-2"/>
    <n v="1516"/>
    <n v="1918.0782602584827"/>
  </r>
  <r>
    <x v="41"/>
    <s v="District Heights"/>
    <x v="1"/>
    <n v="673"/>
    <n v="490.13852451050985"/>
    <n v="379"/>
    <n v="389"/>
    <n v="283.30443690131995"/>
    <n v="143"/>
    <n v="1207"/>
    <n v="879.04487233905706"/>
    <n v="340"/>
    <n v="951"/>
    <n v="692.60287787443519"/>
    <n v="332"/>
    <n v="3220"/>
    <n v="2.2614537866578285E-2"/>
    <n v="1973.6000000000001"/>
    <n v="2345.090711625322"/>
  </r>
  <r>
    <x v="42"/>
    <s v="Temple Hills"/>
    <x v="1"/>
    <n v="663"/>
    <n v="495.80316350849955"/>
    <n v="334"/>
    <n v="332"/>
    <n v="248.275490625674"/>
    <n v="189"/>
    <n v="974"/>
    <n v="728.37448153435673"/>
    <n v="278"/>
    <n v="1316"/>
    <n v="984.12814958851493"/>
    <n v="392"/>
    <n v="3285"/>
    <n v="2.2167066036645991E-2"/>
    <n v="2180.8000000000002"/>
    <n v="2456.5812852570452"/>
  </r>
  <r>
    <x v="43"/>
    <s v="Dunkirk"/>
    <x v="3"/>
    <n v="116"/>
    <n v="116"/>
    <n v="139"/>
    <n v="14"/>
    <n v="14"/>
    <n v="38"/>
    <n v="92"/>
    <n v="92"/>
    <n v="78"/>
    <n v="181"/>
    <n v="181"/>
    <n v="137"/>
    <n v="403"/>
    <n v="0.18069184101831781"/>
    <n v="403"/>
    <n v="403"/>
  </r>
  <r>
    <x v="44"/>
    <s v="Shady Side"/>
    <x v="4"/>
    <n v="33"/>
    <n v="33"/>
    <n v="86"/>
    <n v="34"/>
    <n v="34"/>
    <n v="50"/>
    <n v="43"/>
    <n v="43"/>
    <n v="57"/>
    <n v="140"/>
    <n v="140"/>
    <n v="129"/>
    <n v="250"/>
    <n v="0.29127524772152835"/>
    <n v="250"/>
    <n v="250"/>
  </r>
  <r>
    <x v="45"/>
    <s v="Glenn Dale"/>
    <x v="1"/>
    <n v="269"/>
    <n v="269"/>
    <n v="432"/>
    <n v="0"/>
    <n v="0"/>
    <n v="34"/>
    <n v="155"/>
    <n v="155"/>
    <n v="177"/>
    <n v="141"/>
    <n v="141"/>
    <n v="136"/>
    <n v="565"/>
    <n v="0.12888285297412758"/>
    <n v="565"/>
    <n v="565"/>
  </r>
  <r>
    <x v="46"/>
    <s v="Greenbelt"/>
    <x v="1"/>
    <n v="705"/>
    <n v="446.17319999330647"/>
    <n v="405"/>
    <n v="674"/>
    <n v="426.55423658934546"/>
    <n v="300"/>
    <n v="1204"/>
    <n v="761.97522381835597"/>
    <n v="432"/>
    <n v="727"/>
    <n v="460.09633531224648"/>
    <n v="279"/>
    <n v="3310"/>
    <n v="2.1999641066580689E-2"/>
    <n v="1204.8"/>
    <n v="2094.7989957132545"/>
  </r>
  <r>
    <x v="47"/>
    <s v="Upper Marlboro"/>
    <x v="1"/>
    <n v="496"/>
    <n v="368.55111566529712"/>
    <n v="343"/>
    <n v="122"/>
    <n v="90.651685707996464"/>
    <n v="128"/>
    <n v="846"/>
    <n v="628.61742712266403"/>
    <n v="381"/>
    <n v="932"/>
    <n v="692.51943508075999"/>
    <n v="320"/>
    <n v="2396"/>
    <n v="3.0391824678790518E-2"/>
    <n v="1560.8000000000002"/>
    <n v="1780.3396635767176"/>
  </r>
  <r>
    <x v="48"/>
    <s v="Upper Marlboro"/>
    <x v="1"/>
    <n v="534"/>
    <n v="385.65690250759184"/>
    <n v="373"/>
    <n v="167"/>
    <n v="120.60805752578246"/>
    <n v="149"/>
    <n v="991"/>
    <n v="715.70410184461321"/>
    <n v="398"/>
    <n v="1150"/>
    <n v="830.53452787215463"/>
    <n v="371"/>
    <n v="2842"/>
    <n v="2.5622382804497565E-2"/>
    <n v="1696.8000000000002"/>
    <n v="2052.5035897501421"/>
  </r>
  <r>
    <x v="49"/>
    <s v="Hyattsville"/>
    <x v="1"/>
    <n v="381"/>
    <n v="219.87933194713193"/>
    <n v="190"/>
    <n v="497"/>
    <n v="286.82422041397524"/>
    <n v="225"/>
    <n v="1105"/>
    <n v="637.70777375742978"/>
    <n v="362"/>
    <n v="144"/>
    <n v="83.10399947608137"/>
    <n v="79"/>
    <n v="2127"/>
    <n v="3.4235454598205026E-2"/>
    <n v="464.8"/>
    <n v="1227.5153255946184"/>
  </r>
  <r>
    <x v="50"/>
    <s v="Hyattsville"/>
    <x v="1"/>
    <n v="1629"/>
    <n v="949.64653793856917"/>
    <n v="547"/>
    <n v="962"/>
    <n v="560.81029435046253"/>
    <n v="404"/>
    <n v="2673"/>
    <n v="1558.2597887721274"/>
    <n v="678"/>
    <n v="868"/>
    <n v="506.01178326008471"/>
    <n v="336"/>
    <n v="6132"/>
    <n v="1.1875213948203209E-2"/>
    <n v="1433.6000000000001"/>
    <n v="3574.7284043212439"/>
  </r>
  <r>
    <x v="51"/>
    <s v="Hyattsville"/>
    <x v="1"/>
    <n v="4761"/>
    <n v="2548.5592293056429"/>
    <n v="1121"/>
    <n v="3134"/>
    <n v="1677.6275204040924"/>
    <n v="537"/>
    <n v="6695"/>
    <n v="3583.8277757196552"/>
    <n v="980"/>
    <n v="1579"/>
    <n v="845.23734994194706"/>
    <n v="387"/>
    <n v="16169"/>
    <n v="4.5036064030170133E-3"/>
    <n v="1769.6000000000001"/>
    <n v="8655.2518753713375"/>
  </r>
  <r>
    <x v="52"/>
    <s v="Hyattsville"/>
    <x v="1"/>
    <n v="1351"/>
    <n v="845.16262026175582"/>
    <n v="592"/>
    <n v="929"/>
    <n v="581.16659824068915"/>
    <n v="388"/>
    <n v="1772"/>
    <n v="1108.533059292251"/>
    <n v="455"/>
    <n v="1175"/>
    <n v="735.06001392121618"/>
    <n v="382"/>
    <n v="5227"/>
    <n v="1.3931282175317024E-2"/>
    <n v="1803.2"/>
    <n v="3269.9222917159123"/>
  </r>
  <r>
    <x v="53"/>
    <s v="Hyattsville"/>
    <x v="1"/>
    <n v="1153"/>
    <n v="783.31704659422303"/>
    <n v="535"/>
    <n v="543"/>
    <n v="368.8995284481033"/>
    <n v="196"/>
    <n v="1455"/>
    <n v="988.48768672558072"/>
    <n v="457"/>
    <n v="980"/>
    <n v="665.7855209560613"/>
    <n v="358"/>
    <n v="4131"/>
    <n v="1.762740545397775E-2"/>
    <n v="2004.8000000000002"/>
    <n v="2806.4897827239683"/>
  </r>
  <r>
    <x v="54"/>
    <s v="Jessup"/>
    <x v="5"/>
    <n v="152"/>
    <n v="152"/>
    <n v="235"/>
    <n v="134"/>
    <n v="134"/>
    <n v="154"/>
    <n v="328"/>
    <n v="328"/>
    <n v="230"/>
    <n v="165"/>
    <n v="165"/>
    <n v="163"/>
    <n v="779"/>
    <n v="9.3477293877255563E-2"/>
    <n v="779"/>
    <n v="779"/>
  </r>
  <r>
    <x v="55"/>
    <s v="Bethesda"/>
    <x v="6"/>
    <n v="106"/>
    <n v="106"/>
    <n v="107"/>
    <n v="92"/>
    <n v="92"/>
    <n v="78"/>
    <n v="78"/>
    <n v="78"/>
    <n v="74"/>
    <n v="262"/>
    <n v="262"/>
    <n v="137"/>
    <n v="538"/>
    <n v="0.13535095154346111"/>
    <n v="538"/>
    <n v="538"/>
  </r>
  <r>
    <x v="56"/>
    <s v="Chevy Chase"/>
    <x v="6"/>
    <n v="153"/>
    <n v="104.70825138447947"/>
    <n v="203"/>
    <n v="121"/>
    <n v="82.80848638903278"/>
    <n v="121"/>
    <n v="106"/>
    <n v="72.542971547417139"/>
    <n v="125"/>
    <n v="702"/>
    <n v="480.42609458761166"/>
    <n v="714"/>
    <n v="1082"/>
    <n v="6.7300195869114676E-2"/>
    <n v="539.20000000000005"/>
    <n v="740.48580390854102"/>
  </r>
  <r>
    <x v="57"/>
    <s v="Bethesda"/>
    <x v="6"/>
    <n v="59"/>
    <n v="59"/>
    <n v="99"/>
    <n v="35"/>
    <n v="35"/>
    <n v="57"/>
    <n v="241"/>
    <n v="241"/>
    <n v="131"/>
    <n v="393"/>
    <n v="393"/>
    <n v="168"/>
    <n v="728"/>
    <n v="0.10002584056371165"/>
    <n v="728"/>
    <n v="728"/>
  </r>
  <r>
    <x v="58"/>
    <s v="Olney"/>
    <x v="6"/>
    <n v="15"/>
    <n v="15"/>
    <n v="75"/>
    <n v="44"/>
    <n v="44"/>
    <n v="51"/>
    <n v="205"/>
    <n v="205"/>
    <n v="150"/>
    <n v="219"/>
    <n v="219"/>
    <n v="129"/>
    <n v="483"/>
    <n v="0.15076358577718857"/>
    <n v="483"/>
    <n v="483"/>
  </r>
  <r>
    <x v="59"/>
    <s v="Brookeville"/>
    <x v="6"/>
    <n v="29"/>
    <n v="29"/>
    <n v="77"/>
    <n v="58"/>
    <n v="58"/>
    <n v="86"/>
    <n v="20"/>
    <n v="20"/>
    <n v="46"/>
    <n v="219"/>
    <n v="219"/>
    <n v="130"/>
    <n v="326"/>
    <n v="0.22337058874350332"/>
    <n v="326"/>
    <n v="326"/>
  </r>
  <r>
    <x v="60"/>
    <s v="Boyds"/>
    <x v="6"/>
    <n v="84"/>
    <n v="84"/>
    <n v="165"/>
    <n v="20"/>
    <n v="20"/>
    <n v="49"/>
    <n v="74"/>
    <n v="74"/>
    <n v="83"/>
    <n v="91"/>
    <n v="91"/>
    <n v="71"/>
    <n v="269"/>
    <n v="0.27070190308692221"/>
    <n v="269"/>
    <n v="269"/>
  </r>
  <r>
    <x v="61"/>
    <s v="Rockville"/>
    <x v="6"/>
    <n v="471"/>
    <n v="321.07332826357396"/>
    <n v="307"/>
    <n v="321"/>
    <n v="218.82067595033385"/>
    <n v="175"/>
    <n v="1020"/>
    <n v="695.31803573003276"/>
    <n v="365"/>
    <n v="785"/>
    <n v="535.12221377262324"/>
    <n v="268"/>
    <n v="2597"/>
    <n v="2.8039588729450168E-2"/>
    <n v="1276"/>
    <n v="1770.3342537165638"/>
  </r>
  <r>
    <x v="62"/>
    <s v="Rockville"/>
    <x v="6"/>
    <n v="1154"/>
    <n v="635.9630096354374"/>
    <n v="895"/>
    <n v="332"/>
    <n v="182.96336152423331"/>
    <n v="219"/>
    <n v="1334"/>
    <n v="735.16001287146742"/>
    <n v="504"/>
    <n v="175"/>
    <n v="96.441530923918151"/>
    <n v="120"/>
    <n v="2995"/>
    <n v="2.4313459743032416E-2"/>
    <n v="451.20000000000005"/>
    <n v="1650.5279149550563"/>
  </r>
  <r>
    <x v="63"/>
    <s v="Rockville"/>
    <x v="6"/>
    <n v="579"/>
    <n v="361.35484407125114"/>
    <n v="413"/>
    <n v="678"/>
    <n v="423.1409054927604"/>
    <n v="526"/>
    <n v="450"/>
    <n v="280.84573373413298"/>
    <n v="252"/>
    <n v="718"/>
    <n v="448.10497071357219"/>
    <n v="333"/>
    <n v="2425"/>
    <n v="3.0028376053765807E-2"/>
    <n v="827.2"/>
    <n v="1513.4464540117167"/>
  </r>
  <r>
    <x v="64"/>
    <s v="Rockville"/>
    <x v="6"/>
    <n v="657"/>
    <n v="414.07930608339154"/>
    <n v="411"/>
    <n v="790"/>
    <n v="497.90357961321052"/>
    <n v="457"/>
    <n v="690"/>
    <n v="434.87781004191811"/>
    <n v="303"/>
    <n v="665"/>
    <n v="419.12136764909496"/>
    <n v="404"/>
    <n v="2802"/>
    <n v="2.5988155578294821E-2"/>
    <n v="1000.8000000000001"/>
    <n v="1765.9820633876152"/>
  </r>
  <r>
    <x v="65"/>
    <s v="Potomac"/>
    <x v="6"/>
    <n v="64"/>
    <n v="38.475400813094268"/>
    <n v="103"/>
    <n v="128"/>
    <n v="76.950801626188536"/>
    <n v="155"/>
    <n v="203"/>
    <n v="122.03916195403339"/>
    <n v="149"/>
    <n v="643"/>
    <n v="386.55754254405645"/>
    <n v="341"/>
    <n v="1038"/>
    <n v="7.0152998006148437E-2"/>
    <n v="292"/>
    <n v="624.02290693737268"/>
  </r>
  <r>
    <x v="66"/>
    <s v="Derwood"/>
    <x v="6"/>
    <n v="78"/>
    <n v="78"/>
    <n v="128"/>
    <n v="296"/>
    <n v="296"/>
    <n v="351"/>
    <n v="206"/>
    <n v="206"/>
    <n v="122"/>
    <n v="178"/>
    <n v="178"/>
    <n v="121"/>
    <n v="758"/>
    <n v="9.6067034208947341E-2"/>
    <n v="758"/>
    <n v="758"/>
  </r>
  <r>
    <x v="67"/>
    <s v="Burtonsville"/>
    <x v="6"/>
    <n v="438"/>
    <n v="285.13219788366149"/>
    <n v="461"/>
    <n v="113"/>
    <n v="73.561503106972026"/>
    <n v="119"/>
    <n v="722"/>
    <n v="470.01243578083006"/>
    <n v="439"/>
    <n v="149"/>
    <n v="96.99702622069762"/>
    <n v="100"/>
    <n v="1422"/>
    <n v="5.1208728502378398E-2"/>
    <n v="584.80000000000007"/>
    <n v="925.7031629921612"/>
  </r>
  <r>
    <x v="68"/>
    <s v="Clarksburg"/>
    <x v="6"/>
    <n v="168"/>
    <n v="168"/>
    <n v="206"/>
    <n v="49"/>
    <n v="49"/>
    <n v="79"/>
    <n v="181"/>
    <n v="181"/>
    <n v="137"/>
    <n v="549"/>
    <n v="549"/>
    <n v="292"/>
    <n v="947"/>
    <n v="7.6894204783930387E-2"/>
    <n v="947"/>
    <n v="947"/>
  </r>
  <r>
    <x v="69"/>
    <s v="Damascus"/>
    <x v="6"/>
    <n v="84"/>
    <n v="84"/>
    <n v="108"/>
    <n v="70"/>
    <n v="70"/>
    <n v="83"/>
    <n v="100"/>
    <n v="100"/>
    <n v="85"/>
    <n v="135"/>
    <n v="135"/>
    <n v="109"/>
    <n v="389"/>
    <n v="0.18719488928118788"/>
    <n v="389"/>
    <n v="389"/>
  </r>
  <r>
    <x v="70"/>
    <s v="Germantown"/>
    <x v="6"/>
    <n v="1253"/>
    <n v="839.07609418178004"/>
    <n v="718"/>
    <n v="538"/>
    <n v="360.27369407006995"/>
    <n v="279"/>
    <n v="1718"/>
    <n v="1150.465067681004"/>
    <n v="571"/>
    <n v="928"/>
    <n v="621.43863958554823"/>
    <n v="358"/>
    <n v="4437"/>
    <n v="1.6411722319220664E-2"/>
    <n v="2040.8000000000002"/>
    <n v="2971.2534955184024"/>
  </r>
  <r>
    <x v="71"/>
    <s v="Germantown"/>
    <x v="6"/>
    <n v="436"/>
    <n v="280.28653633125504"/>
    <n v="311"/>
    <n v="293"/>
    <n v="188.35769528682965"/>
    <n v="180"/>
    <n v="1172"/>
    <n v="753.43078114731861"/>
    <n v="426"/>
    <n v="390"/>
    <n v="250.71502103025108"/>
    <n v="166"/>
    <n v="2291"/>
    <n v="3.1784728035959005E-2"/>
    <n v="893.6"/>
    <n v="1472.7900337956544"/>
  </r>
  <r>
    <x v="72"/>
    <s v="Gaithersburg"/>
    <x v="6"/>
    <n v="2142"/>
    <n v="1248.9602557907501"/>
    <n v="898"/>
    <n v="1908"/>
    <n v="1112.5192194438614"/>
    <n v="633"/>
    <n v="2143"/>
    <n v="1249.5433371426595"/>
    <n v="600"/>
    <n v="816"/>
    <n v="475.79438315838098"/>
    <n v="403"/>
    <n v="7009"/>
    <n v="1.0389329709000155E-2"/>
    <n v="1640.8000000000002"/>
    <n v="4086.817195535652"/>
  </r>
  <r>
    <x v="73"/>
    <s v="Gaithersburg"/>
    <x v="6"/>
    <n v="597"/>
    <n v="366.4250453423204"/>
    <n v="342"/>
    <n v="713"/>
    <n v="437.62321160648986"/>
    <n v="415"/>
    <n v="1271"/>
    <n v="780.11094242896024"/>
    <n v="463"/>
    <n v="635"/>
    <n v="389.74858256678971"/>
    <n v="269"/>
    <n v="3216"/>
    <n v="2.2642665401238209E-2"/>
    <n v="1010.4000000000001"/>
    <n v="1973.9077819445602"/>
  </r>
  <r>
    <x v="74"/>
    <s v="Gaithersburg"/>
    <x v="6"/>
    <n v="433"/>
    <n v="287.3204976418163"/>
    <n v="380"/>
    <n v="262"/>
    <n v="173.85212559389345"/>
    <n v="163"/>
    <n v="1116"/>
    <n v="740.53042810223326"/>
    <n v="464"/>
    <n v="650"/>
    <n v="431.31252532836169"/>
    <n v="355"/>
    <n v="2461"/>
    <n v="2.9589114965616451E-2"/>
    <n v="1092.8"/>
    <n v="1633.0155766663047"/>
  </r>
  <r>
    <x v="75"/>
    <s v="Gaithersburg"/>
    <x v="6"/>
    <n v="48"/>
    <n v="48"/>
    <n v="88"/>
    <n v="78"/>
    <n v="78"/>
    <n v="87"/>
    <n v="153"/>
    <n v="153"/>
    <n v="117"/>
    <n v="123"/>
    <n v="123"/>
    <n v="93"/>
    <n v="402"/>
    <n v="0.18114132320990567"/>
    <n v="402"/>
    <n v="402"/>
  </r>
  <r>
    <x v="76"/>
    <s v="Montgomery Village"/>
    <x v="6"/>
    <n v="977"/>
    <n v="604.44424250821862"/>
    <n v="500"/>
    <n v="720"/>
    <n v="445.44509171537095"/>
    <n v="329"/>
    <n v="1589"/>
    <n v="983.07257046628388"/>
    <n v="441"/>
    <n v="695"/>
    <n v="429.97824825303167"/>
    <n v="242"/>
    <n v="3981"/>
    <n v="1.8291588025717679E-2"/>
    <n v="1301.6000000000001"/>
    <n v="2462.9401529429051"/>
  </r>
  <r>
    <x v="77"/>
    <s v="Kensington"/>
    <x v="6"/>
    <n v="106"/>
    <n v="105.99999999999999"/>
    <n v="120"/>
    <n v="320"/>
    <n v="320"/>
    <n v="312"/>
    <n v="149"/>
    <n v="149"/>
    <n v="110"/>
    <n v="232"/>
    <n v="232.00000000000003"/>
    <n v="145"/>
    <n v="807"/>
    <n v="9.0233967695640752E-2"/>
    <n v="807"/>
    <n v="807"/>
  </r>
  <r>
    <x v="78"/>
    <s v="Silver Spring"/>
    <x v="6"/>
    <n v="1067"/>
    <n v="670.4029158191853"/>
    <n v="544"/>
    <n v="844"/>
    <n v="530.29059133213912"/>
    <n v="336"/>
    <n v="1800"/>
    <n v="1130.9514981017185"/>
    <n v="711"/>
    <n v="538"/>
    <n v="338.02883665484694"/>
    <n v="254"/>
    <n v="4249"/>
    <n v="1.7137870541393759E-2"/>
    <n v="1496"/>
    <n v="2669.6738419078897"/>
  </r>
  <r>
    <x v="79"/>
    <s v="Silver Spring"/>
    <x v="6"/>
    <n v="2167"/>
    <n v="1303.2877000748497"/>
    <n v="852"/>
    <n v="1562"/>
    <n v="939.42565183060231"/>
    <n v="568"/>
    <n v="3213"/>
    <n v="1932.3781173698626"/>
    <n v="872"/>
    <n v="1431"/>
    <n v="860.63899345044285"/>
    <n v="588"/>
    <n v="8373"/>
    <n v="8.6968603762548769E-3"/>
    <n v="2360.8000000000002"/>
    <n v="5035.7304627257572"/>
  </r>
  <r>
    <x v="80"/>
    <s v="Silver Spring"/>
    <x v="6"/>
    <n v="1966"/>
    <n v="1064.6647260349221"/>
    <n v="666"/>
    <n v="1548"/>
    <n v="838.30162558599159"/>
    <n v="491"/>
    <n v="2295"/>
    <n v="1242.8308983978361"/>
    <n v="605"/>
    <n v="637"/>
    <n v="344.96003585159986"/>
    <n v="285"/>
    <n v="6446"/>
    <n v="1.1296744016503581E-2"/>
    <n v="810.40000000000009"/>
    <n v="3490.7572858703497"/>
  </r>
  <r>
    <x v="81"/>
    <s v="Silver Spring"/>
    <x v="6"/>
    <n v="1690"/>
    <n v="1113.2180838012798"/>
    <n v="766"/>
    <n v="1270"/>
    <n v="836.56033516427544"/>
    <n v="476"/>
    <n v="1962"/>
    <n v="1292.3869114900065"/>
    <n v="587"/>
    <n v="1053"/>
    <n v="693.62049836848973"/>
    <n v="339"/>
    <n v="5975"/>
    <n v="1.2187248858641352E-2"/>
    <n v="2577.6000000000004"/>
    <n v="3935.7858288240518"/>
  </r>
  <r>
    <x v="82"/>
    <s v="Silver Spring"/>
    <x v="6"/>
    <n v="458"/>
    <n v="300.6708891004223"/>
    <n v="514"/>
    <n v="294"/>
    <n v="193.00707728280383"/>
    <n v="232"/>
    <n v="113"/>
    <n v="74.182992288968819"/>
    <n v="104"/>
    <n v="385"/>
    <n v="252.7473631084336"/>
    <n v="208"/>
    <n v="1250"/>
    <n v="5.8255049544305666E-2"/>
    <n v="532"/>
    <n v="820.60832178062856"/>
  </r>
  <r>
    <x v="83"/>
    <s v="Silver Spring"/>
    <x v="6"/>
    <n v="2845"/>
    <n v="1709.3499574583684"/>
    <n v="1146"/>
    <n v="1550"/>
    <n v="931.28029316712525"/>
    <n v="557"/>
    <n v="3339"/>
    <n v="2006.1579992806653"/>
    <n v="755"/>
    <n v="1767"/>
    <n v="1061.6595342105229"/>
    <n v="434"/>
    <n v="9501"/>
    <n v="7.6643313262164071E-3"/>
    <n v="2664"/>
    <n v="5708.4477841166818"/>
  </r>
  <r>
    <x v="84"/>
    <s v="Silver Spring"/>
    <x v="6"/>
    <n v="755"/>
    <n v="493.49423833270964"/>
    <n v="444"/>
    <n v="168"/>
    <n v="109.8106384634374"/>
    <n v="127"/>
    <n v="651"/>
    <n v="425.51622404581991"/>
    <n v="344"/>
    <n v="915"/>
    <n v="598.07579877407863"/>
    <n v="410"/>
    <n v="2489"/>
    <n v="2.925625228219449E-2"/>
    <n v="1040.8"/>
    <n v="1626.8968996160456"/>
  </r>
  <r>
    <x v="85"/>
    <s v="Takoma Park"/>
    <x v="6"/>
    <n v="1035"/>
    <n v="610.75972331162427"/>
    <n v="460"/>
    <n v="823"/>
    <n v="485.65724858499203"/>
    <n v="344"/>
    <n v="1174"/>
    <n v="692.78445909936897"/>
    <n v="362"/>
    <n v="638"/>
    <n v="376.48763620561959"/>
    <n v="293"/>
    <n v="3670"/>
    <n v="1.9841638128169505E-2"/>
    <n v="926.40000000000009"/>
    <n v="2165.6890672016048"/>
  </r>
  <r>
    <x v="86"/>
    <s v="Aberdeen"/>
    <x v="7"/>
    <n v="436"/>
    <n v="329.01307095958174"/>
    <n v="236"/>
    <n v="300"/>
    <n v="226.38514056851955"/>
    <n v="218"/>
    <n v="503"/>
    <n v="379.57241901988442"/>
    <n v="292"/>
    <n v="207"/>
    <n v="156.20574699227848"/>
    <n v="114"/>
    <n v="1446"/>
    <n v="5.0358791099849295E-2"/>
    <n v="985.6"/>
    <n v="1091.1763775402642"/>
  </r>
  <r>
    <x v="87"/>
    <s v="Abingdon"/>
    <x v="7"/>
    <n v="187"/>
    <n v="135.41132486354107"/>
    <n v="170"/>
    <n v="188"/>
    <n v="136.13544959543168"/>
    <n v="169"/>
    <n v="508"/>
    <n v="367.85536380042174"/>
    <n v="301"/>
    <n v="382"/>
    <n v="276.61564758220686"/>
    <n v="170"/>
    <n v="1265"/>
    <n v="5.7564278205835637E-2"/>
    <n v="761.6"/>
    <n v="916.01778584160138"/>
  </r>
  <r>
    <x v="88"/>
    <s v="Arnold"/>
    <x v="4"/>
    <n v="228"/>
    <n v="228"/>
    <n v="214"/>
    <n v="66"/>
    <n v="66"/>
    <n v="76"/>
    <n v="290"/>
    <n v="290"/>
    <n v="194"/>
    <n v="201"/>
    <n v="201"/>
    <n v="121"/>
    <n v="785"/>
    <n v="9.2762817745709658E-2"/>
    <n v="785"/>
    <n v="785"/>
  </r>
  <r>
    <x v="89"/>
    <s v="Bel Air"/>
    <x v="7"/>
    <n v="216"/>
    <n v="161.19645068451905"/>
    <n v="184"/>
    <n v="174"/>
    <n v="129.85269638475145"/>
    <n v="159"/>
    <n v="267"/>
    <n v="199.25672376280824"/>
    <n v="172"/>
    <n v="439"/>
    <n v="327.61686041899935"/>
    <n v="329"/>
    <n v="1096"/>
    <n v="6.6440521834290223E-2"/>
    <n v="723.2"/>
    <n v="817.92273125107806"/>
  </r>
  <r>
    <x v="90"/>
    <s v="Bel Air"/>
    <x v="7"/>
    <n v="163"/>
    <n v="163"/>
    <n v="182"/>
    <n v="0"/>
    <n v="0"/>
    <n v="44"/>
    <n v="483"/>
    <n v="483"/>
    <n v="289"/>
    <n v="196"/>
    <n v="196"/>
    <n v="120"/>
    <n v="842"/>
    <n v="8.6483149561023848E-2"/>
    <n v="842"/>
    <n v="842"/>
  </r>
  <r>
    <x v="91"/>
    <s v="Belcamp"/>
    <x v="7"/>
    <n v="36"/>
    <n v="36"/>
    <n v="97"/>
    <n v="64"/>
    <n v="64"/>
    <n v="107"/>
    <n v="101"/>
    <n v="101.00000000000001"/>
    <n v="94"/>
    <n v="107"/>
    <n v="107"/>
    <n v="104"/>
    <n v="308"/>
    <n v="0.23642471405968207"/>
    <n v="308"/>
    <n v="308"/>
  </r>
  <r>
    <x v="92"/>
    <s v="Clarksville"/>
    <x v="5"/>
    <n v="6"/>
    <n v="6"/>
    <n v="65"/>
    <n v="18"/>
    <n v="18"/>
    <n v="45"/>
    <n v="133"/>
    <n v="133"/>
    <n v="119"/>
    <n v="112"/>
    <n v="112"/>
    <n v="143"/>
    <n v="269"/>
    <n v="0.27070190308692221"/>
    <n v="269"/>
    <n v="269"/>
  </r>
  <r>
    <x v="93"/>
    <s v="Cockeysville"/>
    <x v="8"/>
    <n v="786"/>
    <n v="498.30337887367193"/>
    <n v="624"/>
    <n v="384"/>
    <n v="243.44592555660307"/>
    <n v="218"/>
    <n v="702"/>
    <n v="445.04958265816504"/>
    <n v="346"/>
    <n v="446"/>
    <n v="282.75229895376293"/>
    <n v="211"/>
    <n v="2318"/>
    <n v="3.1414500401372773E-2"/>
    <n v="850.40000000000009"/>
    <n v="1469.551186042203"/>
  </r>
  <r>
    <x v="94"/>
    <s v="Crownsville"/>
    <x v="4"/>
    <n v="114"/>
    <n v="114"/>
    <n v="150"/>
    <n v="26"/>
    <n v="26"/>
    <n v="49"/>
    <n v="58"/>
    <n v="58"/>
    <n v="78"/>
    <n v="110"/>
    <n v="110"/>
    <n v="98"/>
    <n v="308"/>
    <n v="0.23642471405968207"/>
    <n v="308"/>
    <n v="308"/>
  </r>
  <r>
    <x v="95"/>
    <s v="Edgewater"/>
    <x v="4"/>
    <n v="73"/>
    <n v="47.934225137474236"/>
    <n v="151"/>
    <n v="215"/>
    <n v="141.17614252817756"/>
    <n v="183"/>
    <n v="654"/>
    <n v="429.43812657408432"/>
    <n v="370"/>
    <n v="305"/>
    <n v="200.27313242369374"/>
    <n v="181"/>
    <n v="1247"/>
    <n v="5.8395198019552591E-2"/>
    <n v="531.20000000000005"/>
    <n v="818.82162666342981"/>
  </r>
  <r>
    <x v="96"/>
    <s v="Edgewood"/>
    <x v="7"/>
    <n v="538"/>
    <n v="409.54185976259191"/>
    <n v="405"/>
    <n v="100"/>
    <n v="76.123022260704815"/>
    <n v="87"/>
    <n v="568"/>
    <n v="432.37876644080336"/>
    <n v="368"/>
    <n v="281"/>
    <n v="213.90569255258052"/>
    <n v="187"/>
    <n v="1487"/>
    <n v="4.8970283746053854E-2"/>
    <n v="1039.2"/>
    <n v="1131.9493410166806"/>
  </r>
  <r>
    <x v="97"/>
    <s v="Ellicott City"/>
    <x v="5"/>
    <n v="154"/>
    <n v="115.11962154410985"/>
    <n v="157"/>
    <n v="24"/>
    <n v="17.940720240640495"/>
    <n v="49"/>
    <n v="238"/>
    <n v="177.91214238635158"/>
    <n v="135"/>
    <n v="823"/>
    <n v="615.21719825196362"/>
    <n v="383"/>
    <n v="1239"/>
    <n v="5.8772245302971815E-2"/>
    <n v="821.6"/>
    <n v="926.18968242306551"/>
  </r>
  <r>
    <x v="98"/>
    <s v="Ellicott City"/>
    <x v="5"/>
    <n v="268"/>
    <n v="169.29138975071555"/>
    <n v="183"/>
    <n v="370"/>
    <n v="233.72318734240579"/>
    <n v="320"/>
    <n v="424"/>
    <n v="267.83413900859472"/>
    <n v="222"/>
    <n v="636"/>
    <n v="401.75120851289211"/>
    <n v="333"/>
    <n v="1698"/>
    <n v="4.2885048251108414E-2"/>
    <n v="612.80000000000007"/>
    <n v="1072.5999246146082"/>
  </r>
  <r>
    <x v="99"/>
    <s v="Columbia"/>
    <x v="5"/>
    <n v="363"/>
    <n v="241.02318961793932"/>
    <n v="352"/>
    <n v="428"/>
    <n v="284.18161200131692"/>
    <n v="318"/>
    <n v="951"/>
    <n v="631.44091825526255"/>
    <n v="383"/>
    <n v="438"/>
    <n v="290.8213692910673"/>
    <n v="260"/>
    <n v="2180"/>
    <n v="3.3403124738707379E-2"/>
    <n v="970.40000000000009"/>
    <n v="1447.467089165586"/>
  </r>
  <r>
    <x v="100"/>
    <s v="Columbia"/>
    <x v="5"/>
    <n v="519"/>
    <n v="337.06703441681572"/>
    <n v="336"/>
    <n v="177"/>
    <n v="114.9534972866597"/>
    <n v="145"/>
    <n v="389"/>
    <n v="252.63791211587923"/>
    <n v="208"/>
    <n v="569"/>
    <n v="369.53977376332978"/>
    <n v="313"/>
    <n v="1654"/>
    <n v="4.402588387568445E-2"/>
    <n v="673.6"/>
    <n v="1074.1982175826845"/>
  </r>
  <r>
    <x v="101"/>
    <s v="Columbia"/>
    <x v="5"/>
    <n v="254"/>
    <n v="254.00000000000003"/>
    <n v="311"/>
    <n v="83"/>
    <n v="83"/>
    <n v="80"/>
    <n v="245"/>
    <n v="245"/>
    <n v="229"/>
    <n v="73"/>
    <n v="73"/>
    <n v="54"/>
    <n v="655"/>
    <n v="0.11117375867233906"/>
    <n v="655"/>
    <n v="655"/>
  </r>
  <r>
    <x v="102"/>
    <s v="Fallston"/>
    <x v="7"/>
    <n v="125"/>
    <n v="125"/>
    <n v="176"/>
    <n v="0"/>
    <n v="0"/>
    <n v="38"/>
    <n v="140"/>
    <n v="140"/>
    <n v="129"/>
    <n v="140"/>
    <n v="140"/>
    <n v="102"/>
    <n v="405"/>
    <n v="0.17979953563057305"/>
    <n v="405"/>
    <n v="405"/>
  </r>
  <r>
    <x v="103"/>
    <s v="Finksburg"/>
    <x v="9"/>
    <n v="24"/>
    <n v="24"/>
    <n v="92"/>
    <n v="26"/>
    <n v="26"/>
    <n v="60"/>
    <n v="164"/>
    <n v="164"/>
    <n v="147"/>
    <n v="109"/>
    <n v="109"/>
    <n v="109"/>
    <n v="323"/>
    <n v="0.22544523817455753"/>
    <n v="323"/>
    <n v="323"/>
  </r>
  <r>
    <x v="104"/>
    <s v="Forest Hill"/>
    <x v="7"/>
    <n v="103"/>
    <n v="103"/>
    <n v="102"/>
    <n v="19"/>
    <n v="19"/>
    <n v="49"/>
    <n v="173"/>
    <n v="173"/>
    <n v="102"/>
    <n v="112"/>
    <n v="112"/>
    <n v="81"/>
    <n v="407"/>
    <n v="0.1789159998289486"/>
    <n v="407"/>
    <n v="407"/>
  </r>
  <r>
    <x v="105"/>
    <s v="Freeland"/>
    <x v="8"/>
    <n v="70"/>
    <n v="70"/>
    <n v="122"/>
    <n v="0"/>
    <n v="0"/>
    <n v="24"/>
    <n v="200"/>
    <n v="199.99999999999997"/>
    <n v="206"/>
    <n v="117"/>
    <n v="117"/>
    <n v="100"/>
    <n v="387"/>
    <n v="0.18816230472966947"/>
    <n v="387"/>
    <n v="387"/>
  </r>
  <r>
    <x v="106"/>
    <s v="Gambrills"/>
    <x v="4"/>
    <n v="56"/>
    <n v="56"/>
    <n v="97"/>
    <n v="11"/>
    <n v="11"/>
    <n v="36"/>
    <n v="50"/>
    <n v="50"/>
    <n v="58"/>
    <n v="177"/>
    <n v="177"/>
    <n v="180"/>
    <n v="294"/>
    <n v="0.24768303377680981"/>
    <n v="294"/>
    <n v="294"/>
  </r>
  <r>
    <x v="107"/>
    <s v="Glen Burnie"/>
    <x v="4"/>
    <n v="295"/>
    <n v="212.36600714481304"/>
    <n v="215"/>
    <n v="564"/>
    <n v="406.01501027008317"/>
    <n v="322"/>
    <n v="1078"/>
    <n v="776.03578204104554"/>
    <n v="469"/>
    <n v="417"/>
    <n v="300.19194908266792"/>
    <n v="167"/>
    <n v="2354"/>
    <n v="3.0934074736780833E-2"/>
    <n v="1391.2"/>
    <n v="1694.6087485386097"/>
  </r>
  <r>
    <x v="108"/>
    <s v="Glen Burnie"/>
    <x v="4"/>
    <n v="809"/>
    <n v="572.39488591391739"/>
    <n v="513"/>
    <n v="814"/>
    <n v="575.93255517172895"/>
    <n v="350"/>
    <n v="1980"/>
    <n v="1400.9170260933947"/>
    <n v="654"/>
    <n v="569"/>
    <n v="402.58676153896045"/>
    <n v="292"/>
    <n v="4172"/>
    <n v="1.7454173521184585E-2"/>
    <n v="2331.2000000000003"/>
    <n v="2951.8312287180015"/>
  </r>
  <r>
    <x v="109"/>
    <s v="Hampstead"/>
    <x v="9"/>
    <n v="123"/>
    <n v="123"/>
    <n v="142"/>
    <n v="235"/>
    <n v="235"/>
    <n v="167"/>
    <n v="75"/>
    <n v="75"/>
    <n v="77"/>
    <n v="36"/>
    <n v="36"/>
    <n v="50"/>
    <n v="469"/>
    <n v="0.1552639913227763"/>
    <n v="469"/>
    <n v="469"/>
  </r>
  <r>
    <x v="110"/>
    <s v="Elkridge"/>
    <x v="5"/>
    <n v="697"/>
    <n v="462.61762741524365"/>
    <n v="521"/>
    <n v="254"/>
    <n v="168.58662462478031"/>
    <n v="221"/>
    <n v="485"/>
    <n v="321.90753127172621"/>
    <n v="249"/>
    <n v="587"/>
    <n v="389.60767186907896"/>
    <n v="227"/>
    <n v="2023"/>
    <n v="3.599545819593776E-2"/>
    <n v="899.2"/>
    <n v="1342.7194551808291"/>
  </r>
  <r>
    <x v="111"/>
    <s v="Hanover"/>
    <x v="4"/>
    <n v="67"/>
    <n v="67"/>
    <n v="148"/>
    <n v="100"/>
    <n v="100"/>
    <n v="120"/>
    <n v="128"/>
    <n v="128"/>
    <n v="120"/>
    <n v="295"/>
    <n v="295"/>
    <n v="205"/>
    <n v="590"/>
    <n v="0.12342171513624081"/>
    <n v="590"/>
    <n v="590"/>
  </r>
  <r>
    <x v="112"/>
    <s v="Havre De Grace"/>
    <x v="7"/>
    <n v="129"/>
    <n v="129"/>
    <n v="126"/>
    <n v="98"/>
    <n v="98"/>
    <n v="88"/>
    <n v="215"/>
    <n v="215"/>
    <n v="139"/>
    <n v="110"/>
    <n v="110"/>
    <n v="104"/>
    <n v="552"/>
    <n v="0.13191813755504"/>
    <n v="552"/>
    <n v="552"/>
  </r>
  <r>
    <x v="113"/>
    <s v="Jarrettsville"/>
    <x v="7"/>
    <n v="129"/>
    <n v="129"/>
    <n v="230"/>
    <n v="7"/>
    <n v="7"/>
    <n v="29"/>
    <n v="89"/>
    <n v="89"/>
    <n v="97"/>
    <n v="44"/>
    <n v="44"/>
    <n v="53"/>
    <n v="269"/>
    <n v="0.27070190308692221"/>
    <n v="269"/>
    <n v="269"/>
  </r>
  <r>
    <x v="114"/>
    <s v="Joppa"/>
    <x v="7"/>
    <n v="266"/>
    <n v="266"/>
    <n v="217"/>
    <n v="11"/>
    <n v="11"/>
    <n v="15"/>
    <n v="168"/>
    <n v="168"/>
    <n v="102"/>
    <n v="139"/>
    <n v="139"/>
    <n v="68"/>
    <n v="584"/>
    <n v="0.1246897464561337"/>
    <n v="584"/>
    <n v="584"/>
  </r>
  <r>
    <x v="115"/>
    <s v="Linthicum Heights"/>
    <x v="4"/>
    <n v="105"/>
    <n v="105"/>
    <n v="127"/>
    <n v="118"/>
    <n v="118"/>
    <n v="92"/>
    <n v="32"/>
    <n v="31.999999999999996"/>
    <n v="71"/>
    <n v="314"/>
    <n v="314"/>
    <n v="148"/>
    <n v="569"/>
    <n v="0.12797682237325497"/>
    <n v="569"/>
    <n v="569"/>
  </r>
  <r>
    <x v="116"/>
    <s v="Lutherville Timonium"/>
    <x v="8"/>
    <n v="245"/>
    <n v="185.28784438806647"/>
    <n v="190"/>
    <n v="150"/>
    <n v="113.44153738044886"/>
    <n v="121"/>
    <n v="337"/>
    <n v="254.86532064807511"/>
    <n v="245"/>
    <n v="306"/>
    <n v="231.42073625611567"/>
    <n v="147"/>
    <n v="1038"/>
    <n v="7.0152998006148437E-2"/>
    <n v="712"/>
    <n v="785.01543867270607"/>
  </r>
  <r>
    <x v="117"/>
    <s v="Millersville"/>
    <x v="4"/>
    <n v="157"/>
    <n v="157"/>
    <n v="247"/>
    <n v="17"/>
    <n v="17"/>
    <n v="45"/>
    <n v="246"/>
    <n v="246"/>
    <n v="199"/>
    <n v="258"/>
    <n v="258"/>
    <n v="186"/>
    <n v="678"/>
    <n v="0.10740237747843966"/>
    <n v="678"/>
    <n v="678"/>
  </r>
  <r>
    <x v="118"/>
    <s v="Odenton"/>
    <x v="4"/>
    <n v="590"/>
    <n v="423.31178546008277"/>
    <n v="522"/>
    <n v="72"/>
    <n v="51.658387378179597"/>
    <n v="113"/>
    <n v="403"/>
    <n v="289.14347379731078"/>
    <n v="230"/>
    <n v="492"/>
    <n v="352.99898041756057"/>
    <n v="291"/>
    <n v="1557"/>
    <n v="4.6768665337432291E-2"/>
    <n v="910.40000000000009"/>
    <n v="1117.1126270531338"/>
  </r>
  <r>
    <x v="119"/>
    <s v="Crofton"/>
    <x v="4"/>
    <n v="136"/>
    <n v="136"/>
    <n v="148"/>
    <n v="20"/>
    <n v="20"/>
    <n v="53"/>
    <n v="134"/>
    <n v="134"/>
    <n v="112"/>
    <n v="428"/>
    <n v="428"/>
    <n v="276"/>
    <n v="718"/>
    <n v="0.10141895812030931"/>
    <n v="718"/>
    <n v="718"/>
  </r>
  <r>
    <x v="120"/>
    <s v="Owings Mills"/>
    <x v="8"/>
    <n v="1159"/>
    <n v="749.61393572058364"/>
    <n v="726"/>
    <n v="648"/>
    <n v="419.11115646845406"/>
    <n v="293"/>
    <n v="2005"/>
    <n v="1296.7868344432875"/>
    <n v="726"/>
    <n v="667"/>
    <n v="431.39990951305373"/>
    <n v="292"/>
    <n v="4479"/>
    <n v="1.6257828071083297E-2"/>
    <n v="1792.8000000000002"/>
    <n v="2896.9118361453789"/>
  </r>
  <r>
    <x v="121"/>
    <s v="Pasadena"/>
    <x v="4"/>
    <n v="577"/>
    <n v="453.54292425478769"/>
    <n v="440"/>
    <n v="317"/>
    <n v="249.17349564777766"/>
    <n v="221"/>
    <n v="742"/>
    <n v="583.23890779385181"/>
    <n v="405"/>
    <n v="1153"/>
    <n v="906.29981224570236"/>
    <n v="337"/>
    <n v="2789"/>
    <n v="2.6109290760266076E-2"/>
    <n v="2129.6"/>
    <n v="2192.2551399421195"/>
  </r>
  <r>
    <x v="122"/>
    <s v="Randallstown"/>
    <x v="8"/>
    <n v="329"/>
    <n v="247.42211780526446"/>
    <n v="232"/>
    <n v="233"/>
    <n v="175.22599832409307"/>
    <n v="160"/>
    <n v="604"/>
    <n v="454.23391840237002"/>
    <n v="265"/>
    <n v="407"/>
    <n v="306.08146488371619"/>
    <n v="260"/>
    <n v="1573"/>
    <n v="4.6292951004692995E-2"/>
    <n v="1061.6000000000001"/>
    <n v="1182.9634994154437"/>
  </r>
  <r>
    <x v="123"/>
    <s v="Reisterstown"/>
    <x v="8"/>
    <n v="927"/>
    <n v="636.91337816090424"/>
    <n v="646"/>
    <n v="437"/>
    <n v="300.24934871231409"/>
    <n v="373"/>
    <n v="835"/>
    <n v="573.70298895831183"/>
    <n v="322"/>
    <n v="568"/>
    <n v="390.2554463812229"/>
    <n v="326"/>
    <n v="2767"/>
    <n v="2.6316881796307222E-2"/>
    <n v="1398.4"/>
    <n v="1901.121162212753"/>
  </r>
  <r>
    <x v="124"/>
    <s v="Severn"/>
    <x v="4"/>
    <n v="606"/>
    <n v="435.12918267869867"/>
    <n v="456"/>
    <n v="375"/>
    <n v="269.26310809325412"/>
    <n v="346"/>
    <n v="508"/>
    <n v="364.76175709699493"/>
    <n v="252"/>
    <n v="651"/>
    <n v="467.44075564988913"/>
    <n v="331"/>
    <n v="2140"/>
    <n v="3.4027482210458919E-2"/>
    <n v="1254.4000000000001"/>
    <n v="1536.5948035188369"/>
  </r>
  <r>
    <x v="125"/>
    <s v="Severna Park"/>
    <x v="4"/>
    <n v="33"/>
    <n v="33"/>
    <n v="114"/>
    <n v="5"/>
    <n v="5"/>
    <n v="29"/>
    <n v="153"/>
    <n v="153"/>
    <n v="152"/>
    <n v="286"/>
    <n v="286"/>
    <n v="211"/>
    <n v="477"/>
    <n v="0.15265998308256201"/>
    <n v="477"/>
    <n v="477"/>
  </r>
  <r>
    <x v="126"/>
    <s v="Sparks Glencoe"/>
    <x v="8"/>
    <n v="25"/>
    <n v="25"/>
    <n v="82"/>
    <n v="63"/>
    <n v="63"/>
    <n v="83"/>
    <n v="60"/>
    <n v="60"/>
    <n v="70"/>
    <n v="178"/>
    <n v="178"/>
    <n v="164"/>
    <n v="326"/>
    <n v="0.22337058874350332"/>
    <n v="326"/>
    <n v="326"/>
  </r>
  <r>
    <x v="127"/>
    <s v="Street"/>
    <x v="7"/>
    <n v="18"/>
    <n v="18"/>
    <n v="62"/>
    <n v="37"/>
    <n v="37"/>
    <n v="52"/>
    <n v="98"/>
    <n v="98"/>
    <n v="119"/>
    <n v="97"/>
    <n v="97"/>
    <n v="89"/>
    <n v="250"/>
    <n v="0.29127524772152835"/>
    <n v="250"/>
    <n v="250"/>
  </r>
  <r>
    <x v="128"/>
    <s v="Westminster"/>
    <x v="9"/>
    <n v="448"/>
    <n v="336.80781237760561"/>
    <n v="273"/>
    <n v="211"/>
    <n v="158.63046520463121"/>
    <n v="145"/>
    <n v="603"/>
    <n v="453.33730103503615"/>
    <n v="306"/>
    <n v="265"/>
    <n v="199.22783544657474"/>
    <n v="150"/>
    <n v="1527"/>
    <n v="4.7687499626969276E-2"/>
    <n v="1029.6000000000001"/>
    <n v="1148.0034140638477"/>
  </r>
  <r>
    <x v="129"/>
    <s v="Westminster"/>
    <x v="9"/>
    <n v="80"/>
    <n v="80"/>
    <n v="128"/>
    <n v="150"/>
    <n v="150"/>
    <n v="169"/>
    <n v="304"/>
    <n v="304"/>
    <n v="172"/>
    <n v="220"/>
    <n v="220"/>
    <n v="129"/>
    <n v="754"/>
    <n v="9.65766736477216E-2"/>
    <n v="754"/>
    <n v="754"/>
  </r>
  <r>
    <x v="130"/>
    <s v="Woodstock"/>
    <x v="5"/>
    <n v="186"/>
    <n v="186"/>
    <n v="195"/>
    <n v="0"/>
    <n v="0"/>
    <n v="34"/>
    <n v="214"/>
    <n v="214"/>
    <n v="182"/>
    <n v="58"/>
    <n v="57.999999999999993"/>
    <n v="75"/>
    <n v="458"/>
    <n v="0.15899303914930585"/>
    <n v="458"/>
    <n v="458"/>
  </r>
  <r>
    <x v="131"/>
    <s v="Baltimore"/>
    <x v="10"/>
    <n v="366"/>
    <n v="366"/>
    <n v="221"/>
    <n v="151"/>
    <n v="151"/>
    <n v="109"/>
    <n v="145"/>
    <n v="145"/>
    <n v="103"/>
    <n v="261"/>
    <n v="261"/>
    <n v="207"/>
    <n v="923"/>
    <n v="7.8893620726307775E-2"/>
    <n v="923"/>
    <n v="923"/>
  </r>
  <r>
    <x v="132"/>
    <s v="Baltimore"/>
    <x v="10"/>
    <n v="571"/>
    <n v="435.98977378171816"/>
    <n v="268"/>
    <n v="170"/>
    <n v="129.80431093326109"/>
    <n v="123"/>
    <n v="276"/>
    <n v="210.74111657400036"/>
    <n v="159"/>
    <n v="60"/>
    <n v="45.813286211739204"/>
    <n v="58"/>
    <n v="1077"/>
    <n v="6.7612638746872872E-2"/>
    <n v="759.2"/>
    <n v="822.34848750071876"/>
  </r>
  <r>
    <x v="133"/>
    <s v="Towson"/>
    <x v="8"/>
    <n v="213"/>
    <n v="212.99999999999997"/>
    <n v="161"/>
    <n v="170"/>
    <n v="170"/>
    <n v="173"/>
    <n v="83"/>
    <n v="83"/>
    <n v="62"/>
    <n v="250"/>
    <n v="250"/>
    <n v="215"/>
    <n v="716"/>
    <n v="0.10170225129941632"/>
    <n v="716"/>
    <n v="716"/>
  </r>
  <r>
    <x v="134"/>
    <s v="Baltimore"/>
    <x v="10"/>
    <n v="642"/>
    <n v="471.41338556159843"/>
    <n v="349"/>
    <n v="289"/>
    <n v="212.20945237897502"/>
    <n v="205"/>
    <n v="495"/>
    <n v="363.47293746571842"/>
    <n v="228"/>
    <n v="268"/>
    <n v="196.78938836527789"/>
    <n v="132"/>
    <n v="1694"/>
    <n v="4.2986311647214927E-2"/>
    <n v="1064.8"/>
    <n v="1243.8851637715698"/>
  </r>
  <r>
    <x v="135"/>
    <s v="Baltimore"/>
    <x v="10"/>
    <n v="1131"/>
    <n v="835.60685965370988"/>
    <n v="650"/>
    <n v="563"/>
    <n v="415.95637664459656"/>
    <n v="240"/>
    <n v="717"/>
    <n v="529.73485267171532"/>
    <n v="251"/>
    <n v="822"/>
    <n v="607.31108632656901"/>
    <n v="340"/>
    <n v="3233"/>
    <n v="2.2523604061361609E-2"/>
    <n v="2070.4"/>
    <n v="2388.6091752965908"/>
  </r>
  <r>
    <x v="136"/>
    <s v="Gwynn Oak"/>
    <x v="8"/>
    <n v="946"/>
    <n v="689.82403682427866"/>
    <n v="451"/>
    <n v="400"/>
    <n v="291.68035383690426"/>
    <n v="306"/>
    <n v="1715"/>
    <n v="1250.5795170757269"/>
    <n v="460"/>
    <n v="495"/>
    <n v="360.95443787316901"/>
    <n v="192"/>
    <n v="3556"/>
    <n v="2.0477731139027584E-2"/>
    <n v="2188"/>
    <n v="2593.038345610079"/>
  </r>
  <r>
    <x v="137"/>
    <s v="Pikesville"/>
    <x v="8"/>
    <n v="401"/>
    <n v="285.01576933814283"/>
    <n v="363"/>
    <n v="222"/>
    <n v="157.78927878570499"/>
    <n v="166"/>
    <n v="884"/>
    <n v="628.31406507460918"/>
    <n v="411"/>
    <n v="194"/>
    <n v="137.88792830822871"/>
    <n v="98"/>
    <n v="1701"/>
    <n v="4.2809413245374531E-2"/>
    <n v="964.80000000000007"/>
    <n v="1209.0070415066857"/>
  </r>
  <r>
    <x v="138"/>
    <s v="Baltimore"/>
    <x v="10"/>
    <n v="206"/>
    <n v="206"/>
    <n v="200"/>
    <n v="66"/>
    <n v="66"/>
    <n v="86"/>
    <n v="258"/>
    <n v="258"/>
    <n v="165"/>
    <n v="266"/>
    <n v="266"/>
    <n v="137"/>
    <n v="796"/>
    <n v="9.1480919510530251E-2"/>
    <n v="796"/>
    <n v="796"/>
  </r>
  <r>
    <x v="139"/>
    <s v="Baltimore"/>
    <x v="10"/>
    <n v="147"/>
    <n v="147"/>
    <n v="141"/>
    <n v="34"/>
    <n v="34"/>
    <n v="42"/>
    <n v="32"/>
    <n v="32"/>
    <n v="49"/>
    <n v="105"/>
    <n v="105"/>
    <n v="96"/>
    <n v="318"/>
    <n v="0.22898997462384302"/>
    <n v="318"/>
    <n v="318"/>
  </r>
  <r>
    <x v="140"/>
    <s v="Baltimore"/>
    <x v="10"/>
    <n v="318"/>
    <n v="318"/>
    <n v="207"/>
    <n v="125"/>
    <n v="125"/>
    <n v="96"/>
    <n v="240"/>
    <n v="240"/>
    <n v="104"/>
    <n v="179"/>
    <n v="179"/>
    <n v="104"/>
    <n v="862"/>
    <n v="8.4476579965640466E-2"/>
    <n v="862"/>
    <n v="862"/>
  </r>
  <r>
    <x v="141"/>
    <s v="Baltimore"/>
    <x v="10"/>
    <n v="760"/>
    <n v="562.46447131693958"/>
    <n v="442"/>
    <n v="416"/>
    <n v="307.87528956295643"/>
    <n v="210"/>
    <n v="399"/>
    <n v="295.29384744139327"/>
    <n v="208"/>
    <n v="375"/>
    <n v="277.5318115050689"/>
    <n v="238"/>
    <n v="1950"/>
    <n v="3.7342980477119016E-2"/>
    <n v="1255.2"/>
    <n v="1443.1654198263582"/>
  </r>
  <r>
    <x v="142"/>
    <s v="Baltimore"/>
    <x v="10"/>
    <n v="1229"/>
    <n v="951.30191701384854"/>
    <n v="683"/>
    <n v="350"/>
    <n v="270.91592429198289"/>
    <n v="210"/>
    <n v="446"/>
    <n v="345.22429209778392"/>
    <n v="162"/>
    <n v="338"/>
    <n v="261.62737831625776"/>
    <n v="244"/>
    <n v="2363"/>
    <n v="3.0816255577817215E-2"/>
    <n v="1730.4"/>
    <n v="1829.0695117198732"/>
  </r>
  <r>
    <x v="143"/>
    <s v="Baltimore"/>
    <x v="10"/>
    <n v="292"/>
    <n v="222.31312862743883"/>
    <n v="188"/>
    <n v="179"/>
    <n v="136.28099323394366"/>
    <n v="105"/>
    <n v="407"/>
    <n v="309.86795668276579"/>
    <n v="140"/>
    <n v="312"/>
    <n v="237.54005524575658"/>
    <n v="166"/>
    <n v="1190"/>
    <n v="6.1192278933094188E-2"/>
    <n v="832"/>
    <n v="906.00213378990486"/>
  </r>
  <r>
    <x v="144"/>
    <s v="Baltimore"/>
    <x v="10"/>
    <n v="2159"/>
    <n v="1619.2466558047411"/>
    <n v="822"/>
    <n v="634"/>
    <n v="475.49901796211486"/>
    <n v="296"/>
    <n v="1366"/>
    <n v="1024.4978841265756"/>
    <n v="415"/>
    <n v="1011"/>
    <n v="758.24843400583291"/>
    <n v="430"/>
    <n v="5170"/>
    <n v="1.4084876582278933E-2"/>
    <n v="3461.6000000000004"/>
    <n v="3877.4919918992646"/>
  </r>
  <r>
    <x v="145"/>
    <s v="Baltimore"/>
    <x v="10"/>
    <n v="922"/>
    <n v="717.76733337653741"/>
    <n v="456"/>
    <n v="342"/>
    <n v="266.24341433272861"/>
    <n v="184"/>
    <n v="815"/>
    <n v="634.46895520811063"/>
    <n v="378"/>
    <n v="316"/>
    <n v="246.00268692731652"/>
    <n v="147"/>
    <n v="2395"/>
    <n v="3.0404514375942413E-2"/>
    <n v="1781.6000000000001"/>
    <n v="1864.4823898446932"/>
  </r>
  <r>
    <x v="146"/>
    <s v="Baltimore"/>
    <x v="10"/>
    <n v="1305"/>
    <n v="1000.7047381128349"/>
    <n v="542"/>
    <n v="509"/>
    <n v="390.31318904171104"/>
    <n v="284"/>
    <n v="943"/>
    <n v="723.11461152521326"/>
    <n v="331"/>
    <n v="247"/>
    <n v="189.40541786503465"/>
    <n v="157"/>
    <n v="3004"/>
    <n v="2.4240616488143171E-2"/>
    <n v="2143.2000000000003"/>
    <n v="2303.5379565447938"/>
  </r>
  <r>
    <x v="147"/>
    <s v="Baltimore"/>
    <x v="10"/>
    <n v="1347"/>
    <n v="1012.9481441707914"/>
    <n v="413"/>
    <n v="384"/>
    <n v="288.7691814117178"/>
    <n v="172"/>
    <n v="972"/>
    <n v="730.9469904484107"/>
    <n v="301"/>
    <n v="434"/>
    <n v="326.36933524136856"/>
    <n v="222"/>
    <n v="3137"/>
    <n v="2.3212882349500186E-2"/>
    <n v="2116.8000000000002"/>
    <n v="2359.0336512722884"/>
  </r>
  <r>
    <x v="148"/>
    <s v="Sparrows Point"/>
    <x v="8"/>
    <n v="88"/>
    <n v="88"/>
    <n v="132"/>
    <n v="0"/>
    <n v="0"/>
    <n v="34"/>
    <n v="193"/>
    <n v="193"/>
    <n v="127"/>
    <n v="103"/>
    <n v="103"/>
    <n v="84"/>
    <n v="384"/>
    <n v="0.18963232273537001"/>
    <n v="384"/>
    <n v="384"/>
  </r>
  <r>
    <x v="149"/>
    <s v="Middle River"/>
    <x v="8"/>
    <n v="966"/>
    <n v="674.79973796657225"/>
    <n v="538"/>
    <n v="634"/>
    <n v="442.88098744389941"/>
    <n v="424"/>
    <n v="1216"/>
    <n v="849.43735131195842"/>
    <n v="535"/>
    <n v="911"/>
    <n v="636.37946303058732"/>
    <n v="474"/>
    <n v="3727"/>
    <n v="1.9538184043569114E-2"/>
    <n v="1995.2"/>
    <n v="2603.4975397530175"/>
  </r>
  <r>
    <x v="150"/>
    <s v="Essex"/>
    <x v="8"/>
    <n v="1037"/>
    <n v="762.90580321667528"/>
    <n v="671"/>
    <n v="516"/>
    <n v="379.6136880036687"/>
    <n v="302"/>
    <n v="1524"/>
    <n v="1121.1846134061843"/>
    <n v="466"/>
    <n v="828"/>
    <n v="609.14754586635206"/>
    <n v="286"/>
    <n v="3905"/>
    <n v="1.8647583080763658E-2"/>
    <n v="2468.8000000000002"/>
    <n v="2872.8516504928803"/>
  </r>
  <r>
    <x v="151"/>
    <s v="Dundalk"/>
    <x v="8"/>
    <n v="1661"/>
    <n v="1238.522393642884"/>
    <n v="761"/>
    <n v="716"/>
    <n v="533.88442736201387"/>
    <n v="287"/>
    <n v="1341"/>
    <n v="999.91482834142539"/>
    <n v="346"/>
    <n v="711"/>
    <n v="530.15618415417862"/>
    <n v="313"/>
    <n v="4429"/>
    <n v="1.6441366432689564E-2"/>
    <n v="2915.2000000000003"/>
    <n v="3302.4778335005017"/>
  </r>
  <r>
    <x v="152"/>
    <s v="Baltimore"/>
    <x v="10"/>
    <n v="1045"/>
    <n v="766.80252185759866"/>
    <n v="462"/>
    <n v="394"/>
    <n v="289.11023312142953"/>
    <n v="200"/>
    <n v="716"/>
    <n v="525.38813937802934"/>
    <n v="307"/>
    <n v="267"/>
    <n v="195.91987879041039"/>
    <n v="143"/>
    <n v="2422"/>
    <n v="3.0065570574063619E-2"/>
    <n v="1519.2"/>
    <n v="1777.220773147468"/>
  </r>
  <r>
    <x v="153"/>
    <s v="Baltimore"/>
    <x v="10"/>
    <n v="2988"/>
    <n v="1885.3929943605399"/>
    <n v="1101"/>
    <n v="1123"/>
    <n v="708.59984359668226"/>
    <n v="365"/>
    <n v="2385"/>
    <n v="1504.907058751636"/>
    <n v="675"/>
    <n v="1021"/>
    <n v="644.23903856831032"/>
    <n v="395"/>
    <n v="7517"/>
    <n v="9.6872172316591829E-3"/>
    <n v="2699.2000000000003"/>
    <n v="4743.1389352771685"/>
  </r>
  <r>
    <x v="154"/>
    <s v="Brooklyn"/>
    <x v="10"/>
    <n v="1211"/>
    <n v="866.83904880228249"/>
    <n v="463"/>
    <n v="793"/>
    <n v="567.63283707696939"/>
    <n v="390"/>
    <n v="797"/>
    <n v="570.49605441405379"/>
    <n v="259"/>
    <n v="466"/>
    <n v="333.56481977032502"/>
    <n v="241"/>
    <n v="3267"/>
    <n v="2.2289198631889221E-2"/>
    <n v="1896"/>
    <n v="2338.5327600636306"/>
  </r>
  <r>
    <x v="155"/>
    <s v="Curtis Bay"/>
    <x v="4"/>
    <n v="78"/>
    <n v="78"/>
    <n v="129"/>
    <n v="58"/>
    <n v="58"/>
    <n v="79"/>
    <n v="97"/>
    <n v="97"/>
    <n v="123"/>
    <n v="23"/>
    <n v="23"/>
    <n v="54"/>
    <n v="256"/>
    <n v="0.28444848410305501"/>
    <n v="256"/>
    <n v="256"/>
  </r>
  <r>
    <x v="156"/>
    <s v="Halethorpe"/>
    <x v="8"/>
    <n v="912"/>
    <n v="632.0832863012771"/>
    <n v="455"/>
    <n v="648"/>
    <n v="449.11180868774949"/>
    <n v="326"/>
    <n v="959"/>
    <n v="664.6577539067157"/>
    <n v="289"/>
    <n v="455"/>
    <n v="315.34856937179939"/>
    <n v="266"/>
    <n v="2974"/>
    <n v="2.4485141873026927E-2"/>
    <n v="1549.6000000000001"/>
    <n v="2061.2014182675416"/>
  </r>
  <r>
    <x v="157"/>
    <s v="Catonsville"/>
    <x v="8"/>
    <n v="680"/>
    <n v="486.59448755188686"/>
    <n v="514"/>
    <n v="403"/>
    <n v="288.37879188736827"/>
    <n v="329"/>
    <n v="1028"/>
    <n v="735.61637235785247"/>
    <n v="361"/>
    <n v="686"/>
    <n v="490.88796832440352"/>
    <n v="298"/>
    <n v="2797"/>
    <n v="2.6034612774537749E-2"/>
    <n v="1621.6000000000001"/>
    <n v="2001.4776201215111"/>
  </r>
  <r>
    <x v="158"/>
    <s v="Baltimore"/>
    <x v="10"/>
    <n v="1031"/>
    <n v="806.668047331715"/>
    <n v="426"/>
    <n v="612"/>
    <n v="478.83690103492688"/>
    <n v="222"/>
    <n v="1393"/>
    <n v="1089.9016391203484"/>
    <n v="584"/>
    <n v="399"/>
    <n v="312.18288155708467"/>
    <n v="162"/>
    <n v="3435"/>
    <n v="2.1199071886574113E-2"/>
    <n v="2590.4"/>
    <n v="2687.589469044075"/>
  </r>
  <r>
    <x v="159"/>
    <s v="Baltimore"/>
    <x v="10"/>
    <n v="653"/>
    <n v="465.99958195284631"/>
    <n v="360"/>
    <n v="520"/>
    <n v="371.0869565321288"/>
    <n v="209"/>
    <n v="650"/>
    <n v="463.85869566516095"/>
    <n v="247"/>
    <n v="396"/>
    <n v="282.59698997446731"/>
    <n v="156"/>
    <n v="2219"/>
    <n v="3.2816048639198778E-2"/>
    <n v="1275.2"/>
    <n v="1583.5422241246033"/>
  </r>
  <r>
    <x v="160"/>
    <s v="Baltimore"/>
    <x v="10"/>
    <n v="747"/>
    <n v="539.38251964875224"/>
    <n v="475"/>
    <n v="169"/>
    <n v="122.02897700219428"/>
    <n v="117"/>
    <n v="126"/>
    <n v="90.98018403713894"/>
    <n v="84"/>
    <n v="284"/>
    <n v="205.06644655990047"/>
    <n v="230"/>
    <n v="1326"/>
    <n v="5.4916147760469144E-2"/>
    <n v="791.2"/>
    <n v="957.458127247986"/>
  </r>
  <r>
    <x v="161"/>
    <s v="Parkville"/>
    <x v="8"/>
    <n v="1058"/>
    <n v="791.90480697153316"/>
    <n v="454"/>
    <n v="763"/>
    <n v="571.09959141708873"/>
    <n v="303"/>
    <n v="1535"/>
    <n v="1148.9356131392283"/>
    <n v="377"/>
    <n v="871"/>
    <n v="651.93675507769899"/>
    <n v="313"/>
    <n v="4227"/>
    <n v="1.7227066934086134E-2"/>
    <n v="2813.6000000000004"/>
    <n v="3163.8767666055492"/>
  </r>
  <r>
    <x v="162"/>
    <s v="Nottingham"/>
    <x v="8"/>
    <n v="513"/>
    <n v="376.60302959792472"/>
    <n v="466"/>
    <n v="204"/>
    <n v="149.76026907987651"/>
    <n v="141"/>
    <n v="567"/>
    <n v="416.24545376612735"/>
    <n v="241"/>
    <n v="522"/>
    <n v="383.21010029262516"/>
    <n v="254"/>
    <n v="1806"/>
    <n v="4.0320493870643459E-2"/>
    <n v="1134.4000000000001"/>
    <n v="1325.8188527365537"/>
  </r>
  <r>
    <x v="163"/>
    <s v="Rosedale"/>
    <x v="8"/>
    <n v="658"/>
    <n v="450.16434456815733"/>
    <n v="396"/>
    <n v="1287"/>
    <n v="880.48861923893389"/>
    <n v="764"/>
    <n v="643"/>
    <n v="439.90223944882246"/>
    <n v="462"/>
    <n v="514"/>
    <n v="351.64813542254234"/>
    <n v="280"/>
    <n v="3102"/>
    <n v="2.3474794303798223E-2"/>
    <n v="1544"/>
    <n v="2122.203338678456"/>
  </r>
  <r>
    <x v="164"/>
    <s v="Baltimore"/>
    <x v="10"/>
    <n v="546"/>
    <n v="394.04370015544021"/>
    <n v="370"/>
    <n v="504"/>
    <n v="363.7326462973295"/>
    <n v="332"/>
    <n v="522"/>
    <n v="376.72309795080548"/>
    <n v="295"/>
    <n v="292"/>
    <n v="210.73399348972262"/>
    <n v="180"/>
    <n v="1864"/>
    <n v="3.9065886228745753E-2"/>
    <n v="1110.4000000000001"/>
    <n v="1345.2334378932978"/>
  </r>
  <r>
    <x v="165"/>
    <s v="Windsor Mill"/>
    <x v="8"/>
    <n v="856"/>
    <n v="592.30588481069401"/>
    <n v="572"/>
    <n v="690"/>
    <n v="477.44282770955476"/>
    <n v="371"/>
    <n v="1240"/>
    <n v="858.01319762296805"/>
    <n v="497"/>
    <n v="384"/>
    <n v="265.70731281227398"/>
    <n v="192"/>
    <n v="3170"/>
    <n v="2.2971234047439143E-2"/>
    <n v="1642.4"/>
    <n v="2193.4692229554907"/>
  </r>
  <r>
    <x v="166"/>
    <s v="Towson"/>
    <x v="8"/>
    <n v="263"/>
    <n v="263"/>
    <n v="190"/>
    <n v="54"/>
    <n v="54"/>
    <n v="58"/>
    <n v="155"/>
    <n v="155"/>
    <n v="114"/>
    <n v="108"/>
    <n v="108"/>
    <n v="95"/>
    <n v="580"/>
    <n v="0.12554967574203807"/>
    <n v="580"/>
    <n v="580"/>
  </r>
  <r>
    <x v="167"/>
    <s v="Annapolis"/>
    <x v="4"/>
    <n v="521"/>
    <n v="337.43463919430224"/>
    <n v="351"/>
    <n v="269"/>
    <n v="174.22249125387194"/>
    <n v="278"/>
    <n v="811"/>
    <n v="525.25814277654331"/>
    <n v="284"/>
    <n v="251"/>
    <n v="162.56448068669837"/>
    <n v="140"/>
    <n v="1852"/>
    <n v="3.9319012921372617E-2"/>
    <n v="745.6"/>
    <n v="1199.4797539114159"/>
  </r>
  <r>
    <x v="168"/>
    <s v="Annapolis"/>
    <x v="4"/>
    <n v="761"/>
    <n v="462.7988412076013"/>
    <n v="455"/>
    <n v="892"/>
    <n v="542.46592162572972"/>
    <n v="479"/>
    <n v="652"/>
    <n v="396.51096513450199"/>
    <n v="344"/>
    <n v="620"/>
    <n v="377.05030426900498"/>
    <n v="394"/>
    <n v="2925"/>
    <n v="2.4895320318079346E-2"/>
    <n v="876"/>
    <n v="1778.826032236838"/>
  </r>
  <r>
    <x v="169"/>
    <s v="Annapolis"/>
    <x v="4"/>
    <n v="169"/>
    <n v="169"/>
    <n v="191"/>
    <n v="80"/>
    <n v="80"/>
    <n v="83"/>
    <n v="247"/>
    <n v="247"/>
    <n v="211"/>
    <n v="232"/>
    <n v="231.99999999999997"/>
    <n v="112"/>
    <n v="728"/>
    <n v="0.10002584056371165"/>
    <n v="728"/>
    <n v="728"/>
  </r>
  <r>
    <x v="170"/>
    <s v="Cumberland"/>
    <x v="11"/>
    <n v="1012"/>
    <n v="800.11551739922243"/>
    <n v="402"/>
    <n v="320"/>
    <n v="253.00095411833118"/>
    <n v="143"/>
    <n v="760"/>
    <n v="600.87726603103658"/>
    <n v="257"/>
    <n v="362"/>
    <n v="286.2073293463622"/>
    <n v="165"/>
    <n v="2454"/>
    <n v="2.967351749404323E-2"/>
    <n v="1903.2"/>
    <n v="1940.2010668949524"/>
  </r>
  <r>
    <x v="171"/>
    <s v="Frostburg"/>
    <x v="11"/>
    <n v="151"/>
    <n v="151"/>
    <n v="142"/>
    <n v="163"/>
    <n v="163"/>
    <n v="100"/>
    <n v="247"/>
    <n v="247"/>
    <n v="171"/>
    <n v="4"/>
    <n v="4"/>
    <n v="26"/>
    <n v="565"/>
    <n v="0.12888285297412758"/>
    <n v="565"/>
    <n v="565"/>
  </r>
  <r>
    <x v="172"/>
    <s v="Grantsville"/>
    <x v="12"/>
    <n v="117"/>
    <n v="117"/>
    <n v="114"/>
    <n v="56"/>
    <n v="55.999999999999993"/>
    <n v="52"/>
    <n v="91"/>
    <n v="91"/>
    <n v="113"/>
    <n v="81"/>
    <n v="81"/>
    <n v="96"/>
    <n v="345"/>
    <n v="0.211069020088064"/>
    <n v="345"/>
    <n v="345"/>
  </r>
  <r>
    <x v="173"/>
    <s v="Oakland"/>
    <x v="12"/>
    <n v="280"/>
    <n v="224"/>
    <n v="184"/>
    <n v="282"/>
    <n v="225.6"/>
    <n v="151"/>
    <n v="387"/>
    <n v="309.60000000000002"/>
    <n v="200"/>
    <n v="223"/>
    <n v="178.4"/>
    <n v="142"/>
    <n v="1172"/>
    <n v="6.2132092090769697E-2"/>
    <n v="937.6"/>
    <n v="937.6"/>
  </r>
  <r>
    <x v="174"/>
    <s v="Easton"/>
    <x v="13"/>
    <n v="452"/>
    <n v="319.48041965718016"/>
    <n v="328"/>
    <n v="460"/>
    <n v="325.13494035907718"/>
    <n v="239"/>
    <n v="357"/>
    <n v="252.33298632215335"/>
    <n v="143"/>
    <n v="304"/>
    <n v="214.87178667208576"/>
    <n v="169"/>
    <n v="1573"/>
    <n v="4.6292951004692995E-2"/>
    <n v="876"/>
    <n v="1111.8201330104964"/>
  </r>
  <r>
    <x v="175"/>
    <s v="Cambridge"/>
    <x v="14"/>
    <n v="208"/>
    <n v="208"/>
    <n v="178"/>
    <n v="133"/>
    <n v="133"/>
    <n v="74"/>
    <n v="251"/>
    <n v="251"/>
    <n v="138"/>
    <n v="216"/>
    <n v="216"/>
    <n v="121"/>
    <n v="808"/>
    <n v="9.0122291993047138E-2"/>
    <n v="808"/>
    <n v="808"/>
  </r>
  <r>
    <x v="176"/>
    <s v="Centreville"/>
    <x v="15"/>
    <n v="35"/>
    <n v="35"/>
    <n v="82"/>
    <n v="77"/>
    <n v="77"/>
    <n v="96"/>
    <n v="130"/>
    <n v="130"/>
    <n v="124"/>
    <n v="153"/>
    <n v="153"/>
    <n v="151"/>
    <n v="395"/>
    <n v="0.18435142260856224"/>
    <n v="395"/>
    <n v="395"/>
  </r>
  <r>
    <x v="177"/>
    <s v="Chester"/>
    <x v="15"/>
    <n v="20"/>
    <n v="20"/>
    <n v="79"/>
    <n v="344"/>
    <n v="344"/>
    <n v="287"/>
    <n v="56"/>
    <n v="56"/>
    <n v="66"/>
    <n v="43"/>
    <n v="43"/>
    <n v="62"/>
    <n v="463"/>
    <n v="0.15727605168549047"/>
    <n v="463"/>
    <n v="463"/>
  </r>
  <r>
    <x v="178"/>
    <s v="Chestertown"/>
    <x v="16"/>
    <n v="131"/>
    <n v="131"/>
    <n v="124"/>
    <n v="51"/>
    <n v="51"/>
    <n v="91"/>
    <n v="214"/>
    <n v="214"/>
    <n v="157"/>
    <n v="53"/>
    <n v="53"/>
    <n v="69"/>
    <n v="449"/>
    <n v="0.16217998202757702"/>
    <n v="449"/>
    <n v="449"/>
  </r>
  <r>
    <x v="179"/>
    <s v="Denton"/>
    <x v="17"/>
    <n v="124"/>
    <n v="124"/>
    <n v="144"/>
    <n v="69"/>
    <n v="69"/>
    <n v="81"/>
    <n v="380"/>
    <n v="380"/>
    <n v="199"/>
    <n v="149"/>
    <n v="149"/>
    <n v="100"/>
    <n v="722"/>
    <n v="0.10085708023598626"/>
    <n v="722"/>
    <n v="722"/>
  </r>
  <r>
    <x v="180"/>
    <s v="Federalsburg"/>
    <x v="17"/>
    <n v="161"/>
    <n v="161"/>
    <n v="144"/>
    <n v="69"/>
    <n v="69"/>
    <n v="96"/>
    <n v="153"/>
    <n v="153"/>
    <n v="98"/>
    <n v="38"/>
    <n v="38"/>
    <n v="60"/>
    <n v="421"/>
    <n v="0.1729662991220477"/>
    <n v="421"/>
    <n v="421"/>
  </r>
  <r>
    <x v="181"/>
    <s v="Greensboro"/>
    <x v="17"/>
    <n v="89"/>
    <n v="89"/>
    <n v="96"/>
    <n v="69"/>
    <n v="69"/>
    <n v="66"/>
    <n v="136"/>
    <n v="136"/>
    <n v="124"/>
    <n v="14"/>
    <n v="14"/>
    <n v="36"/>
    <n v="308"/>
    <n v="0.23642471405968207"/>
    <n v="308"/>
    <n v="308"/>
  </r>
  <r>
    <x v="182"/>
    <s v="Hurlock"/>
    <x v="14"/>
    <n v="48"/>
    <n v="48"/>
    <n v="82"/>
    <n v="74"/>
    <n v="74"/>
    <n v="76"/>
    <n v="199"/>
    <n v="199"/>
    <n v="136"/>
    <n v="7"/>
    <n v="7.0000000000000009"/>
    <n v="30"/>
    <n v="328"/>
    <n v="0.22200857295848195"/>
    <n v="328"/>
    <n v="328"/>
  </r>
  <r>
    <x v="183"/>
    <s v="Marydel"/>
    <x v="17"/>
    <n v="337"/>
    <n v="337"/>
    <n v="252"/>
    <n v="46"/>
    <n v="46"/>
    <n v="49"/>
    <n v="107"/>
    <n v="107"/>
    <n v="84"/>
    <n v="3"/>
    <n v="3"/>
    <n v="17"/>
    <n v="493"/>
    <n v="0.14770550087298598"/>
    <n v="493"/>
    <n v="493"/>
  </r>
  <r>
    <x v="184"/>
    <s v="Millington"/>
    <x v="16"/>
    <n v="146"/>
    <n v="146"/>
    <n v="155"/>
    <n v="36"/>
    <n v="36"/>
    <n v="54"/>
    <n v="30"/>
    <n v="30"/>
    <n v="37"/>
    <n v="131"/>
    <n v="131"/>
    <n v="124"/>
    <n v="343"/>
    <n v="0.21229974323726555"/>
    <n v="343"/>
    <n v="343"/>
  </r>
  <r>
    <x v="185"/>
    <s v="Preston"/>
    <x v="17"/>
    <n v="44"/>
    <n v="44"/>
    <n v="92"/>
    <n v="17"/>
    <n v="17"/>
    <n v="37"/>
    <n v="91"/>
    <n v="91"/>
    <n v="68"/>
    <n v="140"/>
    <n v="140"/>
    <n v="121"/>
    <n v="292"/>
    <n v="0.24937949291226741"/>
    <n v="292"/>
    <n v="292"/>
  </r>
  <r>
    <x v="186"/>
    <s v="Ridgely"/>
    <x v="17"/>
    <n v="92"/>
    <n v="92"/>
    <n v="102"/>
    <n v="35"/>
    <n v="35"/>
    <n v="40"/>
    <n v="107"/>
    <n v="107"/>
    <n v="84"/>
    <n v="29"/>
    <n v="29"/>
    <n v="35"/>
    <n v="263"/>
    <n v="0.27687761190259347"/>
    <n v="263"/>
    <n v="263"/>
  </r>
  <r>
    <x v="187"/>
    <s v="Stevensville"/>
    <x v="15"/>
    <n v="36"/>
    <n v="36"/>
    <n v="88"/>
    <n v="26"/>
    <n v="26"/>
    <n v="64"/>
    <n v="202"/>
    <n v="202"/>
    <n v="123"/>
    <n v="57"/>
    <n v="57"/>
    <n v="68"/>
    <n v="321"/>
    <n v="0.22684988140305945"/>
    <n v="321"/>
    <n v="321"/>
  </r>
  <r>
    <x v="188"/>
    <s v="Frederick"/>
    <x v="18"/>
    <n v="471"/>
    <n v="341.22894615092071"/>
    <n v="283"/>
    <n v="250"/>
    <n v="181.1193981692785"/>
    <n v="162"/>
    <n v="780"/>
    <n v="565.09252228814898"/>
    <n v="331"/>
    <n v="448"/>
    <n v="324.56596151934713"/>
    <n v="202"/>
    <n v="1949"/>
    <n v="3.7362140549195524E-2"/>
    <n v="1175.2"/>
    <n v="1412.0068281276954"/>
  </r>
  <r>
    <x v="189"/>
    <s v="Frederick"/>
    <x v="18"/>
    <n v="415"/>
    <n v="280.92378185863976"/>
    <n v="363"/>
    <n v="397"/>
    <n v="268.73913589850594"/>
    <n v="353"/>
    <n v="1560"/>
    <n v="1056.0026498782602"/>
    <n v="520"/>
    <n v="441"/>
    <n v="298.52382602327742"/>
    <n v="233"/>
    <n v="2813"/>
    <n v="2.5886531080832591E-2"/>
    <n v="1347.2"/>
    <n v="1904.1893936586832"/>
  </r>
  <r>
    <x v="190"/>
    <s v="Frederick"/>
    <x v="18"/>
    <n v="562"/>
    <n v="384.57986040818258"/>
    <n v="374"/>
    <n v="496"/>
    <n v="339.41567751327148"/>
    <n v="281"/>
    <n v="1192"/>
    <n v="815.69251531415239"/>
    <n v="423"/>
    <n v="435"/>
    <n v="297.67302362555057"/>
    <n v="181"/>
    <n v="2685"/>
    <n v="2.7120600346511019E-2"/>
    <n v="1337.6000000000001"/>
    <n v="1837.361076861157"/>
  </r>
  <r>
    <x v="191"/>
    <s v="Frederick"/>
    <x v="18"/>
    <n v="110"/>
    <n v="110"/>
    <n v="167"/>
    <n v="16"/>
    <n v="16"/>
    <n v="41"/>
    <n v="224"/>
    <n v="224.00000000000003"/>
    <n v="187"/>
    <n v="268"/>
    <n v="268"/>
    <n v="146"/>
    <n v="618"/>
    <n v="0.11782979276760855"/>
    <n v="618"/>
    <n v="618"/>
  </r>
  <r>
    <x v="192"/>
    <s v="Boonsboro"/>
    <x v="19"/>
    <n v="40"/>
    <n v="40"/>
    <n v="107"/>
    <n v="236"/>
    <n v="236"/>
    <n v="239"/>
    <n v="157"/>
    <n v="157"/>
    <n v="119"/>
    <n v="39"/>
    <n v="39"/>
    <n v="54"/>
    <n v="472"/>
    <n v="0.15427714392030104"/>
    <n v="472"/>
    <n v="472"/>
  </r>
  <r>
    <x v="193"/>
    <s v="Clear Spring"/>
    <x v="19"/>
    <n v="278"/>
    <n v="278"/>
    <n v="374"/>
    <n v="67"/>
    <n v="67"/>
    <n v="63"/>
    <n v="348"/>
    <n v="348"/>
    <n v="299"/>
    <n v="49"/>
    <n v="49"/>
    <n v="51"/>
    <n v="742"/>
    <n v="9.8138560553075585E-2"/>
    <n v="742"/>
    <n v="742"/>
  </r>
  <r>
    <x v="194"/>
    <s v="Hagerstown"/>
    <x v="19"/>
    <n v="1571"/>
    <n v="1203.8672560143973"/>
    <n v="601"/>
    <n v="875"/>
    <n v="670.51804520216263"/>
    <n v="290"/>
    <n v="1434"/>
    <n v="1098.8832877941729"/>
    <n v="552"/>
    <n v="707"/>
    <n v="541.7785805233475"/>
    <n v="302"/>
    <n v="4587"/>
    <n v="1.5875040752208868E-2"/>
    <n v="3266.4"/>
    <n v="3515.0471695340802"/>
  </r>
  <r>
    <x v="195"/>
    <s v="Hagerstown"/>
    <x v="19"/>
    <n v="506"/>
    <n v="385.53292537376069"/>
    <n v="262"/>
    <n v="487"/>
    <n v="371.05639260280918"/>
    <n v="301"/>
    <n v="652"/>
    <n v="496.77365087686161"/>
    <n v="370"/>
    <n v="465"/>
    <n v="354.29409149960219"/>
    <n v="268"/>
    <n v="2110"/>
    <n v="3.45112852750626E-2"/>
    <n v="1478.4"/>
    <n v="1607.6570603530336"/>
  </r>
  <r>
    <x v="196"/>
    <s v="Keymar"/>
    <x v="9"/>
    <n v="33"/>
    <n v="33"/>
    <n v="74"/>
    <n v="5"/>
    <n v="5"/>
    <n v="19"/>
    <n v="229"/>
    <n v="229"/>
    <n v="187"/>
    <n v="40"/>
    <n v="40"/>
    <n v="48"/>
    <n v="307"/>
    <n v="0.23719482713479506"/>
    <n v="307"/>
    <n v="307"/>
  </r>
  <r>
    <x v="197"/>
    <s v="Middletown"/>
    <x v="18"/>
    <n v="53"/>
    <n v="53"/>
    <n v="93"/>
    <n v="33"/>
    <n v="33"/>
    <n v="45"/>
    <n v="121"/>
    <n v="121"/>
    <n v="99"/>
    <n v="62"/>
    <n v="62"/>
    <n v="51"/>
    <n v="269"/>
    <n v="0.27070190308692221"/>
    <n v="269"/>
    <n v="269"/>
  </r>
  <r>
    <x v="198"/>
    <s v="Mount Airy"/>
    <x v="18"/>
    <n v="188"/>
    <n v="140.08532697106958"/>
    <n v="163"/>
    <n v="120"/>
    <n v="89.416166151746523"/>
    <n v="87"/>
    <n v="304"/>
    <n v="226.52095425109121"/>
    <n v="150"/>
    <n v="422"/>
    <n v="314.44685096697526"/>
    <n v="172"/>
    <n v="1034"/>
    <n v="7.0424382911394662E-2"/>
    <n v="679.2"/>
    <n v="770.46929834088257"/>
  </r>
  <r>
    <x v="199"/>
    <s v="New Market"/>
    <x v="18"/>
    <n v="66"/>
    <n v="66"/>
    <n v="97"/>
    <n v="39"/>
    <n v="39"/>
    <n v="55"/>
    <n v="131"/>
    <n v="131"/>
    <n v="101"/>
    <n v="49"/>
    <n v="49"/>
    <n v="50"/>
    <n v="285"/>
    <n v="0.25550460326449853"/>
    <n v="285"/>
    <n v="285"/>
  </r>
  <r>
    <x v="200"/>
    <s v="Smithsburg"/>
    <x v="19"/>
    <n v="63"/>
    <n v="63"/>
    <n v="101"/>
    <n v="115"/>
    <n v="115.00000000000001"/>
    <n v="130"/>
    <n v="145"/>
    <n v="145"/>
    <n v="105"/>
    <n v="246"/>
    <n v="246"/>
    <n v="235"/>
    <n v="569"/>
    <n v="0.12797682237325497"/>
    <n v="569"/>
    <n v="569"/>
  </r>
  <r>
    <x v="201"/>
    <s v="Sykesville"/>
    <x v="9"/>
    <n v="105"/>
    <n v="105"/>
    <n v="125"/>
    <n v="69"/>
    <n v="69"/>
    <n v="76"/>
    <n v="284"/>
    <n v="284"/>
    <n v="128"/>
    <n v="400"/>
    <n v="400"/>
    <n v="164"/>
    <n v="858"/>
    <n v="8.4870410175270486E-2"/>
    <n v="858"/>
    <n v="858"/>
  </r>
  <r>
    <x v="202"/>
    <s v="Taneytown"/>
    <x v="9"/>
    <n v="78"/>
    <n v="78"/>
    <n v="136"/>
    <n v="182"/>
    <n v="182.00000000000003"/>
    <n v="245"/>
    <n v="176"/>
    <n v="176"/>
    <n v="120"/>
    <n v="245"/>
    <n v="245"/>
    <n v="164"/>
    <n v="681"/>
    <n v="0.10692923925166238"/>
    <n v="681"/>
    <n v="681"/>
  </r>
  <r>
    <x v="203"/>
    <s v="Thurmont"/>
    <x v="18"/>
    <n v="215"/>
    <n v="215"/>
    <n v="241"/>
    <n v="223"/>
    <n v="223"/>
    <n v="190"/>
    <n v="164"/>
    <n v="164"/>
    <n v="99"/>
    <n v="197"/>
    <n v="197"/>
    <n v="101"/>
    <n v="799"/>
    <n v="9.1137436708863678E-2"/>
    <n v="799"/>
    <n v="799"/>
  </r>
  <r>
    <x v="204"/>
    <s v="Union Bridge"/>
    <x v="9"/>
    <n v="97"/>
    <n v="97"/>
    <n v="106"/>
    <n v="63"/>
    <n v="63"/>
    <n v="79"/>
    <n v="58"/>
    <n v="58"/>
    <n v="59"/>
    <n v="35"/>
    <n v="35"/>
    <n v="49"/>
    <n v="253"/>
    <n v="0.2878213910291782"/>
    <n v="253"/>
    <n v="253"/>
  </r>
  <r>
    <x v="205"/>
    <s v="Walkersville"/>
    <x v="18"/>
    <n v="297"/>
    <n v="297"/>
    <n v="351"/>
    <n v="0"/>
    <n v="0"/>
    <n v="38"/>
    <n v="108"/>
    <n v="108"/>
    <n v="116"/>
    <n v="166"/>
    <n v="166"/>
    <n v="120"/>
    <n v="571"/>
    <n v="0.12752856730364637"/>
    <n v="571"/>
    <n v="571"/>
  </r>
  <r>
    <x v="206"/>
    <s v="Williamsport"/>
    <x v="19"/>
    <n v="150"/>
    <n v="150"/>
    <n v="169"/>
    <n v="52"/>
    <n v="52"/>
    <n v="69"/>
    <n v="167"/>
    <n v="167"/>
    <n v="138"/>
    <n v="94"/>
    <n v="94"/>
    <n v="64"/>
    <n v="463"/>
    <n v="0.15727605168549047"/>
    <n v="463"/>
    <n v="463"/>
  </r>
  <r>
    <x v="207"/>
    <s v="Woodbine"/>
    <x v="5"/>
    <n v="12"/>
    <n v="12.000000000000002"/>
    <n v="67"/>
    <n v="57"/>
    <n v="57"/>
    <n v="72"/>
    <n v="58"/>
    <n v="58"/>
    <n v="68"/>
    <n v="184"/>
    <n v="184"/>
    <n v="106"/>
    <n v="311"/>
    <n v="0.23414408980830251"/>
    <n v="311"/>
    <n v="311"/>
  </r>
  <r>
    <x v="208"/>
    <s v="Salisbury"/>
    <x v="20"/>
    <n v="593"/>
    <n v="415.08883663512677"/>
    <n v="363"/>
    <n v="395"/>
    <n v="276.49256403182983"/>
    <n v="230"/>
    <n v="953"/>
    <n v="667.08205955021219"/>
    <n v="409"/>
    <n v="616"/>
    <n v="431.18840365470169"/>
    <n v="373"/>
    <n v="2557"/>
    <n v="2.8478221325921815E-2"/>
    <n v="1378.4"/>
    <n v="1789.8518638718706"/>
  </r>
  <r>
    <x v="209"/>
    <s v="Salisbury"/>
    <x v="20"/>
    <n v="1145"/>
    <n v="803.55435280634185"/>
    <n v="569"/>
    <n v="474"/>
    <n v="332.65044823598771"/>
    <n v="219"/>
    <n v="1088"/>
    <n v="763.55208371467234"/>
    <n v="429"/>
    <n v="478"/>
    <n v="335.45762501435053"/>
    <n v="262"/>
    <n v="3185"/>
    <n v="2.2863049271705519E-2"/>
    <n v="1732"/>
    <n v="2235.2145097713524"/>
  </r>
  <r>
    <x v="210"/>
    <s v="Berlin"/>
    <x v="21"/>
    <n v="376"/>
    <n v="293.78431134065426"/>
    <n v="296"/>
    <n v="71"/>
    <n v="55.475229003155462"/>
    <n v="69"/>
    <n v="565"/>
    <n v="441.457808264547"/>
    <n v="246"/>
    <n v="500"/>
    <n v="390.67062678278495"/>
    <n v="231"/>
    <n v="1512"/>
    <n v="4.8160589901046352E-2"/>
    <n v="1136"/>
    <n v="1181.3879753911417"/>
  </r>
  <r>
    <x v="211"/>
    <s v="Crisfield"/>
    <x v="22"/>
    <n v="183"/>
    <n v="183"/>
    <n v="121"/>
    <n v="120"/>
    <n v="120.00000000000001"/>
    <n v="115"/>
    <n v="58"/>
    <n v="58"/>
    <n v="55"/>
    <n v="36"/>
    <n v="36"/>
    <n v="42"/>
    <n v="397"/>
    <n v="0.18342270007652917"/>
    <n v="397"/>
    <n v="397"/>
  </r>
  <r>
    <x v="212"/>
    <s v="Eden"/>
    <x v="21"/>
    <n v="105"/>
    <n v="105"/>
    <n v="191"/>
    <n v="0"/>
    <n v="0"/>
    <n v="24"/>
    <n v="178"/>
    <n v="178"/>
    <n v="140"/>
    <n v="157"/>
    <n v="157"/>
    <n v="135"/>
    <n v="440"/>
    <n v="0.16549729984177747"/>
    <n v="440"/>
    <n v="440"/>
  </r>
  <r>
    <x v="213"/>
    <s v="Fruitland"/>
    <x v="20"/>
    <n v="139"/>
    <n v="139"/>
    <n v="171"/>
    <n v="12"/>
    <n v="12"/>
    <n v="35"/>
    <n v="327"/>
    <n v="327"/>
    <n v="226"/>
    <n v="70"/>
    <n v="70"/>
    <n v="100"/>
    <n v="548"/>
    <n v="0.13288104366858045"/>
    <n v="548"/>
    <n v="548"/>
  </r>
  <r>
    <x v="214"/>
    <s v="Ocean City"/>
    <x v="21"/>
    <n v="242"/>
    <n v="242"/>
    <n v="173"/>
    <n v="108"/>
    <n v="108"/>
    <n v="81"/>
    <n v="215"/>
    <n v="215"/>
    <n v="113"/>
    <n v="202"/>
    <n v="202"/>
    <n v="152"/>
    <n v="767"/>
    <n v="9.4939780874031404E-2"/>
    <n v="767"/>
    <n v="767"/>
  </r>
  <r>
    <x v="215"/>
    <s v="Pocomoke City"/>
    <x v="21"/>
    <n v="238"/>
    <n v="238"/>
    <n v="227"/>
    <n v="151"/>
    <n v="151"/>
    <n v="160"/>
    <n v="45"/>
    <n v="45"/>
    <n v="51"/>
    <n v="178"/>
    <n v="178"/>
    <n v="146"/>
    <n v="612"/>
    <n v="0.11898498681434981"/>
    <n v="612"/>
    <n v="612"/>
  </r>
  <r>
    <x v="216"/>
    <s v="Princess Anne"/>
    <x v="22"/>
    <n v="126"/>
    <n v="125.99999999999999"/>
    <n v="137"/>
    <n v="137"/>
    <n v="137"/>
    <n v="120"/>
    <n v="289"/>
    <n v="289"/>
    <n v="230"/>
    <n v="122"/>
    <n v="122"/>
    <n v="104"/>
    <n v="674"/>
    <n v="0.10803978031213959"/>
    <n v="674"/>
    <n v="674"/>
  </r>
  <r>
    <x v="217"/>
    <s v="Snow Hill"/>
    <x v="21"/>
    <n v="35"/>
    <n v="35"/>
    <n v="65"/>
    <n v="124"/>
    <n v="124"/>
    <n v="128"/>
    <n v="123"/>
    <n v="123"/>
    <n v="108"/>
    <n v="17"/>
    <n v="17"/>
    <n v="40"/>
    <n v="299"/>
    <n v="0.24354117702468925"/>
    <n v="299"/>
    <n v="299"/>
  </r>
  <r>
    <x v="218"/>
    <s v="Delmar"/>
    <x v="20"/>
    <n v="303"/>
    <n v="303"/>
    <n v="271"/>
    <n v="79"/>
    <n v="79"/>
    <n v="79"/>
    <n v="143"/>
    <n v="143"/>
    <n v="107"/>
    <n v="168"/>
    <n v="168"/>
    <n v="131"/>
    <n v="693"/>
    <n v="0.10507765069319204"/>
    <n v="693"/>
    <n v="693"/>
  </r>
  <r>
    <x v="219"/>
    <s v="North East"/>
    <x v="23"/>
    <n v="274"/>
    <n v="274"/>
    <n v="284"/>
    <n v="160"/>
    <n v="160"/>
    <n v="123"/>
    <n v="245"/>
    <n v="245"/>
    <n v="167"/>
    <n v="152"/>
    <n v="152"/>
    <n v="116"/>
    <n v="831"/>
    <n v="8.7627932527535604E-2"/>
    <n v="831"/>
    <n v="831"/>
  </r>
  <r>
    <x v="220"/>
    <s v="Port Deposit"/>
    <x v="23"/>
    <n v="72"/>
    <n v="72"/>
    <n v="117"/>
    <n v="13"/>
    <n v="13"/>
    <n v="30"/>
    <n v="40"/>
    <n v="40"/>
    <n v="64"/>
    <n v="149"/>
    <n v="148.99999999999997"/>
    <n v="110"/>
    <n v="274"/>
    <n v="0.26576208733716089"/>
    <n v="274"/>
    <n v="274"/>
  </r>
  <r>
    <x v="221"/>
    <s v="Rising Sun"/>
    <x v="23"/>
    <n v="194"/>
    <n v="194"/>
    <n v="180"/>
    <n v="121"/>
    <n v="121"/>
    <n v="120"/>
    <n v="176"/>
    <n v="176"/>
    <n v="122"/>
    <n v="65"/>
    <n v="65"/>
    <n v="68"/>
    <n v="556"/>
    <n v="0.13096908620572317"/>
    <n v="556"/>
    <n v="556"/>
  </r>
  <r>
    <x v="222"/>
    <s v="Elkton"/>
    <x v="23"/>
    <n v="975"/>
    <n v="742.96546421453058"/>
    <n v="592"/>
    <n v="384"/>
    <n v="292.61409052141516"/>
    <n v="259"/>
    <n v="857"/>
    <n v="653.04759264805409"/>
    <n v="359"/>
    <n v="432"/>
    <n v="329.19085183659206"/>
    <n v="214"/>
    <n v="2648"/>
    <n v="2.7499551333225861E-2"/>
    <n v="1856"/>
    <n v="2017.817999220591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chartFormat="16">
  <location ref="A4:B16" firstHeaderRow="1" firstDataRow="1" firstDataCol="1" rowPageCount="1" colPageCount="1"/>
  <pivotFields count="19">
    <pivotField axis="axisRow" showAll="0">
      <items count="469">
        <item x="0"/>
        <item x="1"/>
        <item x="2"/>
        <item m="1" x="424"/>
        <item x="3"/>
        <item m="1" x="377"/>
        <item m="1" x="356"/>
        <item m="1" x="308"/>
        <item m="1" x="282"/>
        <item x="4"/>
        <item m="1" x="450"/>
        <item x="5"/>
        <item m="1" x="407"/>
        <item m="1" x="382"/>
        <item x="6"/>
        <item m="1" x="333"/>
        <item m="1" x="311"/>
        <item x="7"/>
        <item m="1" x="264"/>
        <item m="1" x="233"/>
        <item m="1" x="454"/>
        <item m="1" x="433"/>
        <item m="1" x="387"/>
        <item m="1" x="363"/>
        <item m="1" x="337"/>
        <item m="1" x="291"/>
        <item x="8"/>
        <item x="9"/>
        <item m="1" x="412"/>
        <item x="10"/>
        <item x="11"/>
        <item m="1" x="461"/>
        <item x="12"/>
        <item x="13"/>
        <item x="14"/>
        <item x="15"/>
        <item m="1" x="393"/>
        <item x="16"/>
        <item m="1" x="349"/>
        <item m="1" x="300"/>
        <item m="1" x="251"/>
        <item m="1" x="420"/>
        <item m="1" x="352"/>
        <item m="1" x="255"/>
        <item m="1" x="227"/>
        <item m="1" x="446"/>
        <item m="1" x="425"/>
        <item x="17"/>
        <item m="1" x="357"/>
        <item m="1" x="259"/>
        <item x="18"/>
        <item m="1" x="451"/>
        <item m="1" x="429"/>
        <item m="1" x="408"/>
        <item m="1" x="383"/>
        <item m="1" x="360"/>
        <item m="1" x="312"/>
        <item m="1" x="287"/>
        <item m="1" x="234"/>
        <item m="1" x="338"/>
        <item x="19"/>
        <item x="20"/>
        <item x="21"/>
        <item x="22"/>
        <item x="23"/>
        <item x="24"/>
        <item x="25"/>
        <item m="1" x="271"/>
        <item x="26"/>
        <item x="27"/>
        <item x="28"/>
        <item x="29"/>
        <item x="30"/>
        <item x="31"/>
        <item x="32"/>
        <item x="33"/>
        <item m="1" x="301"/>
        <item x="34"/>
        <item m="1" x="223"/>
        <item x="35"/>
        <item x="36"/>
        <item m="1" x="327"/>
        <item x="37"/>
        <item x="38"/>
        <item x="39"/>
        <item x="40"/>
        <item x="41"/>
        <item x="42"/>
        <item m="1" x="358"/>
        <item x="43"/>
        <item m="1" x="260"/>
        <item m="1" x="430"/>
        <item m="1" x="409"/>
        <item m="1" x="334"/>
        <item m="1" x="313"/>
        <item x="44"/>
        <item m="1" x="265"/>
        <item x="45"/>
        <item x="46"/>
        <item x="47"/>
        <item x="48"/>
        <item m="1" x="238"/>
        <item m="1" x="458"/>
        <item m="1" x="437"/>
        <item m="1" x="413"/>
        <item x="49"/>
        <item x="50"/>
        <item x="51"/>
        <item x="52"/>
        <item x="53"/>
        <item x="54"/>
        <item m="1" x="353"/>
        <item x="55"/>
        <item x="56"/>
        <item m="1" x="256"/>
        <item x="57"/>
        <item m="1" x="447"/>
        <item x="58"/>
        <item x="59"/>
        <item m="1" x="235"/>
        <item m="1" x="455"/>
        <item m="1" x="434"/>
        <item x="60"/>
        <item m="1" x="364"/>
        <item x="61"/>
        <item x="62"/>
        <item x="63"/>
        <item x="64"/>
        <item x="65"/>
        <item x="66"/>
        <item m="1" x="417"/>
        <item m="1" x="392"/>
        <item m="1" x="368"/>
        <item x="67"/>
        <item m="1" x="465"/>
        <item x="68"/>
        <item x="69"/>
        <item x="70"/>
        <item x="71"/>
        <item x="72"/>
        <item x="73"/>
        <item x="74"/>
        <item m="1" x="421"/>
        <item x="75"/>
        <item x="76"/>
        <item x="77"/>
        <item m="1" x="283"/>
        <item m="1" x="452"/>
        <item x="78"/>
        <item x="79"/>
        <item x="80"/>
        <item x="81"/>
        <item x="82"/>
        <item x="83"/>
        <item x="84"/>
        <item x="85"/>
        <item x="86"/>
        <item m="1" x="347"/>
        <item x="87"/>
        <item m="1" x="466"/>
        <item x="88"/>
        <item m="1" x="394"/>
        <item x="89"/>
        <item x="90"/>
        <item x="91"/>
        <item m="1" x="279"/>
        <item x="92"/>
        <item x="93"/>
        <item m="1" x="448"/>
        <item x="94"/>
        <item m="1" x="378"/>
        <item m="1" x="359"/>
        <item m="1" x="330"/>
        <item x="95"/>
        <item x="96"/>
        <item x="97"/>
        <item x="98"/>
        <item x="99"/>
        <item x="100"/>
        <item x="101"/>
        <item x="102"/>
        <item x="103"/>
        <item x="104"/>
        <item m="1" x="456"/>
        <item m="1" x="435"/>
        <item x="105"/>
        <item x="106"/>
        <item m="1" x="339"/>
        <item m="1" x="315"/>
        <item x="107"/>
        <item x="108"/>
        <item m="1" x="462"/>
        <item x="109"/>
        <item x="110"/>
        <item x="111"/>
        <item m="1" x="323"/>
        <item x="112"/>
        <item m="1" x="442"/>
        <item x="113"/>
        <item x="114"/>
        <item m="1" x="326"/>
        <item x="115"/>
        <item x="116"/>
        <item m="1" x="449"/>
        <item m="1" x="403"/>
        <item m="1" x="379"/>
        <item x="117"/>
        <item m="1" x="229"/>
        <item x="118"/>
        <item x="119"/>
        <item x="120"/>
        <item m="1" x="266"/>
        <item x="121"/>
        <item m="1" x="316"/>
        <item m="1" x="268"/>
        <item m="1" x="239"/>
        <item m="1" x="459"/>
        <item x="122"/>
        <item x="123"/>
        <item m="1" x="272"/>
        <item x="124"/>
        <item x="125"/>
        <item x="126"/>
        <item m="1" x="443"/>
        <item x="127"/>
        <item m="1" x="395"/>
        <item m="1" x="371"/>
        <item x="128"/>
        <item x="129"/>
        <item m="1" x="277"/>
        <item m="1" x="252"/>
        <item m="1" x="224"/>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m="1" x="305"/>
        <item x="165"/>
        <item m="1" x="309"/>
        <item m="1" x="284"/>
        <item m="1" x="261"/>
        <item x="166"/>
        <item x="167"/>
        <item m="1" x="314"/>
        <item x="168"/>
        <item m="1" x="236"/>
        <item x="169"/>
        <item x="170"/>
        <item m="1" x="400"/>
        <item m="1" x="374"/>
        <item m="1" x="354"/>
        <item m="1" x="328"/>
        <item m="1" x="306"/>
        <item m="1" x="426"/>
        <item m="1" x="404"/>
        <item m="1" x="380"/>
        <item x="171"/>
        <item x="172"/>
        <item m="1" x="453"/>
        <item m="1" x="431"/>
        <item m="1" x="410"/>
        <item m="1" x="384"/>
        <item m="1" x="361"/>
        <item m="1" x="335"/>
        <item m="1" x="288"/>
        <item x="173"/>
        <item m="1" x="292"/>
        <item m="1" x="240"/>
        <item m="1" x="390"/>
        <item m="1" x="366"/>
        <item x="174"/>
        <item m="1" x="262"/>
        <item m="1" x="432"/>
        <item m="1" x="385"/>
        <item x="175"/>
        <item x="176"/>
        <item x="177"/>
        <item x="178"/>
        <item m="1" x="388"/>
        <item m="1" x="365"/>
        <item m="1" x="340"/>
        <item m="1" x="317"/>
        <item m="1" x="293"/>
        <item m="1" x="269"/>
        <item m="1" x="241"/>
        <item x="179"/>
        <item m="1" x="414"/>
        <item x="180"/>
        <item m="1" x="343"/>
        <item m="1" x="320"/>
        <item m="1" x="294"/>
        <item m="1" x="245"/>
        <item x="181"/>
        <item m="1" x="439"/>
        <item m="1" x="418"/>
        <item x="182"/>
        <item m="1" x="348"/>
        <item m="1" x="324"/>
        <item m="1" x="275"/>
        <item m="1" x="247"/>
        <item x="183"/>
        <item m="1" x="444"/>
        <item x="184"/>
        <item m="1" x="396"/>
        <item m="1" x="372"/>
        <item m="1" x="350"/>
        <item x="185"/>
        <item m="1" x="278"/>
        <item m="1" x="253"/>
        <item m="1" x="225"/>
        <item x="186"/>
        <item m="1" x="422"/>
        <item m="1" x="401"/>
        <item m="1" x="375"/>
        <item m="1" x="355"/>
        <item m="1" x="329"/>
        <item x="187"/>
        <item m="1" x="280"/>
        <item m="1" x="257"/>
        <item m="1" x="228"/>
        <item m="1" x="427"/>
        <item m="1" x="405"/>
        <item m="1" x="381"/>
        <item m="1" x="331"/>
        <item m="1" x="310"/>
        <item m="1" x="285"/>
        <item m="1" x="263"/>
        <item m="1" x="230"/>
        <item x="188"/>
        <item x="189"/>
        <item x="190"/>
        <item x="191"/>
        <item m="1" x="344"/>
        <item m="1" x="463"/>
        <item m="1" x="440"/>
        <item x="192"/>
        <item m="1" x="369"/>
        <item m="1" x="325"/>
        <item m="1" x="298"/>
        <item m="1" x="276"/>
        <item m="1" x="248"/>
        <item x="193"/>
        <item m="1" x="397"/>
        <item m="1" x="302"/>
        <item m="1" x="402"/>
        <item m="1" x="376"/>
        <item m="1" x="307"/>
        <item m="1" x="281"/>
        <item x="194"/>
        <item x="195"/>
        <item m="1" x="332"/>
        <item m="1" x="231"/>
        <item m="1" x="386"/>
        <item m="1" x="362"/>
        <item m="1" x="336"/>
        <item x="196"/>
        <item m="1" x="289"/>
        <item m="1" x="436"/>
        <item m="1" x="341"/>
        <item m="1" x="318"/>
        <item x="197"/>
        <item m="1" x="242"/>
        <item x="198"/>
        <item m="1" x="415"/>
        <item x="199"/>
        <item m="1" x="345"/>
        <item m="1" x="321"/>
        <item m="1" x="295"/>
        <item m="1" x="273"/>
        <item m="1" x="246"/>
        <item m="1" x="464"/>
        <item m="1" x="441"/>
        <item x="200"/>
        <item x="201"/>
        <item x="202"/>
        <item x="203"/>
        <item m="1" x="249"/>
        <item x="204"/>
        <item x="205"/>
        <item m="1" x="398"/>
        <item x="206"/>
        <item x="207"/>
        <item m="1" x="303"/>
        <item x="208"/>
        <item m="1" x="445"/>
        <item x="209"/>
        <item m="1" x="258"/>
        <item x="210"/>
        <item m="1" x="428"/>
        <item m="1" x="406"/>
        <item x="211"/>
        <item m="1" x="232"/>
        <item x="212"/>
        <item m="1" x="411"/>
        <item x="213"/>
        <item m="1" x="290"/>
        <item m="1" x="267"/>
        <item m="1" x="389"/>
        <item m="1" x="342"/>
        <item m="1" x="319"/>
        <item m="1" x="270"/>
        <item m="1" x="243"/>
        <item x="214"/>
        <item m="1" x="296"/>
        <item m="1" x="274"/>
        <item x="215"/>
        <item x="216"/>
        <item m="1" x="370"/>
        <item m="1" x="250"/>
        <item m="1" x="467"/>
        <item x="217"/>
        <item m="1" x="419"/>
        <item m="1" x="399"/>
        <item m="1" x="373"/>
        <item m="1" x="351"/>
        <item m="1" x="304"/>
        <item m="1" x="254"/>
        <item m="1" x="226"/>
        <item m="1" x="423"/>
        <item x="218"/>
        <item m="1" x="286"/>
        <item x="219"/>
        <item m="1" x="237"/>
        <item m="1" x="457"/>
        <item x="220"/>
        <item x="221"/>
        <item m="1" x="244"/>
        <item m="1" x="460"/>
        <item m="1" x="438"/>
        <item m="1" x="416"/>
        <item m="1" x="391"/>
        <item m="1" x="367"/>
        <item m="1" x="346"/>
        <item m="1" x="322"/>
        <item m="1" x="297"/>
        <item x="222"/>
        <item m="1" x="299"/>
        <item t="default"/>
      </items>
    </pivotField>
    <pivotField showAll="0"/>
    <pivotField axis="axisPage" multipleItemSelectionAllowed="1" showAll="0">
      <items count="25">
        <item h="1" x="11"/>
        <item h="1" x="4"/>
        <item h="1" x="8"/>
        <item h="1" x="10"/>
        <item h="1" x="3"/>
        <item h="1" x="17"/>
        <item h="1" x="9"/>
        <item h="1" x="23"/>
        <item h="1" x="0"/>
        <item h="1" x="14"/>
        <item h="1" x="18"/>
        <item h="1" x="12"/>
        <item h="1" x="7"/>
        <item h="1" x="5"/>
        <item h="1" x="16"/>
        <item h="1" x="6"/>
        <item h="1" x="1"/>
        <item h="1" x="15"/>
        <item h="1" x="2"/>
        <item x="22"/>
        <item h="1" x="13"/>
        <item h="1" x="19"/>
        <item x="20"/>
        <item x="21"/>
        <item t="default"/>
      </items>
    </pivotField>
    <pivotField showAll="0"/>
    <pivotField numFmtId="3" showAll="0" defaultSubtotal="0"/>
    <pivotField showAll="0"/>
    <pivotField showAll="0"/>
    <pivotField numFmtId="3" showAll="0" defaultSubtotal="0"/>
    <pivotField showAll="0"/>
    <pivotField showAll="0"/>
    <pivotField numFmtId="3" showAll="0" defaultSubtotal="0"/>
    <pivotField showAll="0"/>
    <pivotField showAll="0"/>
    <pivotField numFmtId="3" showAll="0" defaultSubtotal="0"/>
    <pivotField showAll="0"/>
    <pivotField showAll="0"/>
    <pivotField numFmtId="10" showAll="0" defaultSubtotal="0"/>
    <pivotField showAll="0"/>
    <pivotField dataField="1" numFmtId="4" showAll="0"/>
  </pivotFields>
  <rowFields count="1">
    <field x="0"/>
  </rowFields>
  <rowItems count="12">
    <i>
      <x v="414"/>
    </i>
    <i>
      <x v="416"/>
    </i>
    <i>
      <x v="418"/>
    </i>
    <i>
      <x v="421"/>
    </i>
    <i>
      <x v="423"/>
    </i>
    <i>
      <x v="425"/>
    </i>
    <i>
      <x v="433"/>
    </i>
    <i>
      <x v="436"/>
    </i>
    <i>
      <x v="437"/>
    </i>
    <i>
      <x v="441"/>
    </i>
    <i>
      <x v="450"/>
    </i>
    <i t="grand">
      <x/>
    </i>
  </rowItems>
  <colItems count="1">
    <i/>
  </colItems>
  <pageFields count="1">
    <pageField fld="2" hier="-1"/>
  </pageFields>
  <dataFields count="1">
    <dataField name="Sum of Alternate Adj. Total" fld="18" baseField="0" baseItem="0"/>
  </dataFields>
  <chartFormats count="37">
    <chartFormat chart="0" format="0" series="1">
      <pivotArea type="data" outline="0" fieldPosition="0">
        <references count="1">
          <reference field="4294967294" count="1" selected="0">
            <x v="0"/>
          </reference>
        </references>
      </pivotArea>
    </chartFormat>
    <chartFormat chart="0" format="1">
      <pivotArea type="data" outline="0" fieldPosition="0">
        <references count="2">
          <reference field="4294967294" count="1" selected="0">
            <x v="0"/>
          </reference>
          <reference field="0" count="1" selected="0">
            <x v="414"/>
          </reference>
        </references>
      </pivotArea>
    </chartFormat>
    <chartFormat chart="0" format="2">
      <pivotArea type="data" outline="0" fieldPosition="0">
        <references count="2">
          <reference field="4294967294" count="1" selected="0">
            <x v="0"/>
          </reference>
          <reference field="0" count="1" selected="0">
            <x v="415"/>
          </reference>
        </references>
      </pivotArea>
    </chartFormat>
    <chartFormat chart="0" format="3">
      <pivotArea type="data" outline="0" fieldPosition="0">
        <references count="2">
          <reference field="4294967294" count="1" selected="0">
            <x v="0"/>
          </reference>
          <reference field="0" count="1" selected="0">
            <x v="416"/>
          </reference>
        </references>
      </pivotArea>
    </chartFormat>
    <chartFormat chart="0" format="4">
      <pivotArea type="data" outline="0" fieldPosition="0">
        <references count="2">
          <reference field="4294967294" count="1" selected="0">
            <x v="0"/>
          </reference>
          <reference field="0" count="1" selected="0">
            <x v="417"/>
          </reference>
        </references>
      </pivotArea>
    </chartFormat>
    <chartFormat chart="0" format="5">
      <pivotArea type="data" outline="0" fieldPosition="0">
        <references count="2">
          <reference field="4294967294" count="1" selected="0">
            <x v="0"/>
          </reference>
          <reference field="0" count="1" selected="0">
            <x v="418"/>
          </reference>
        </references>
      </pivotArea>
    </chartFormat>
    <chartFormat chart="0" format="6">
      <pivotArea type="data" outline="0" fieldPosition="0">
        <references count="2">
          <reference field="4294967294" count="1" selected="0">
            <x v="0"/>
          </reference>
          <reference field="0" count="1" selected="0">
            <x v="419"/>
          </reference>
        </references>
      </pivotArea>
    </chartFormat>
    <chartFormat chart="0" format="7">
      <pivotArea type="data" outline="0" fieldPosition="0">
        <references count="2">
          <reference field="4294967294" count="1" selected="0">
            <x v="0"/>
          </reference>
          <reference field="0" count="1" selected="0">
            <x v="420"/>
          </reference>
        </references>
      </pivotArea>
    </chartFormat>
    <chartFormat chart="0" format="8">
      <pivotArea type="data" outline="0" fieldPosition="0">
        <references count="2">
          <reference field="4294967294" count="1" selected="0">
            <x v="0"/>
          </reference>
          <reference field="0" count="1" selected="0">
            <x v="421"/>
          </reference>
        </references>
      </pivotArea>
    </chartFormat>
    <chartFormat chart="0" format="9">
      <pivotArea type="data" outline="0" fieldPosition="0">
        <references count="2">
          <reference field="4294967294" count="1" selected="0">
            <x v="0"/>
          </reference>
          <reference field="0" count="1" selected="0">
            <x v="422"/>
          </reference>
        </references>
      </pivotArea>
    </chartFormat>
    <chartFormat chart="0" format="10">
      <pivotArea type="data" outline="0" fieldPosition="0">
        <references count="2">
          <reference field="4294967294" count="1" selected="0">
            <x v="0"/>
          </reference>
          <reference field="0" count="1" selected="0">
            <x v="423"/>
          </reference>
        </references>
      </pivotArea>
    </chartFormat>
    <chartFormat chart="0" format="11">
      <pivotArea type="data" outline="0" fieldPosition="0">
        <references count="2">
          <reference field="4294967294" count="1" selected="0">
            <x v="0"/>
          </reference>
          <reference field="0" count="1" selected="0">
            <x v="424"/>
          </reference>
        </references>
      </pivotArea>
    </chartFormat>
    <chartFormat chart="0" format="12">
      <pivotArea type="data" outline="0" fieldPosition="0">
        <references count="2">
          <reference field="4294967294" count="1" selected="0">
            <x v="0"/>
          </reference>
          <reference field="0" count="1" selected="0">
            <x v="425"/>
          </reference>
        </references>
      </pivotArea>
    </chartFormat>
    <chartFormat chart="0" format="13">
      <pivotArea type="data" outline="0" fieldPosition="0">
        <references count="2">
          <reference field="4294967294" count="1" selected="0">
            <x v="0"/>
          </reference>
          <reference field="0" count="1" selected="0">
            <x v="426"/>
          </reference>
        </references>
      </pivotArea>
    </chartFormat>
    <chartFormat chart="0" format="14">
      <pivotArea type="data" outline="0" fieldPosition="0">
        <references count="2">
          <reference field="4294967294" count="1" selected="0">
            <x v="0"/>
          </reference>
          <reference field="0" count="1" selected="0">
            <x v="427"/>
          </reference>
        </references>
      </pivotArea>
    </chartFormat>
    <chartFormat chart="0" format="15">
      <pivotArea type="data" outline="0" fieldPosition="0">
        <references count="2">
          <reference field="4294967294" count="1" selected="0">
            <x v="0"/>
          </reference>
          <reference field="0" count="1" selected="0">
            <x v="429"/>
          </reference>
        </references>
      </pivotArea>
    </chartFormat>
    <chartFormat chart="0" format="16">
      <pivotArea type="data" outline="0" fieldPosition="0">
        <references count="2">
          <reference field="4294967294" count="1" selected="0">
            <x v="0"/>
          </reference>
          <reference field="0" count="1" selected="0">
            <x v="430"/>
          </reference>
        </references>
      </pivotArea>
    </chartFormat>
    <chartFormat chart="0" format="17">
      <pivotArea type="data" outline="0" fieldPosition="0">
        <references count="2">
          <reference field="4294967294" count="1" selected="0">
            <x v="0"/>
          </reference>
          <reference field="0" count="1" selected="0">
            <x v="431"/>
          </reference>
        </references>
      </pivotArea>
    </chartFormat>
    <chartFormat chart="0" format="18">
      <pivotArea type="data" outline="0" fieldPosition="0">
        <references count="2">
          <reference field="4294967294" count="1" selected="0">
            <x v="0"/>
          </reference>
          <reference field="0" count="1" selected="0">
            <x v="432"/>
          </reference>
        </references>
      </pivotArea>
    </chartFormat>
    <chartFormat chart="0" format="19">
      <pivotArea type="data" outline="0" fieldPosition="0">
        <references count="2">
          <reference field="4294967294" count="1" selected="0">
            <x v="0"/>
          </reference>
          <reference field="0" count="1" selected="0">
            <x v="433"/>
          </reference>
        </references>
      </pivotArea>
    </chartFormat>
    <chartFormat chart="0" format="20">
      <pivotArea type="data" outline="0" fieldPosition="0">
        <references count="2">
          <reference field="4294967294" count="1" selected="0">
            <x v="0"/>
          </reference>
          <reference field="0" count="1" selected="0">
            <x v="434"/>
          </reference>
        </references>
      </pivotArea>
    </chartFormat>
    <chartFormat chart="0" format="21">
      <pivotArea type="data" outline="0" fieldPosition="0">
        <references count="2">
          <reference field="4294967294" count="1" selected="0">
            <x v="0"/>
          </reference>
          <reference field="0" count="1" selected="0">
            <x v="435"/>
          </reference>
        </references>
      </pivotArea>
    </chartFormat>
    <chartFormat chart="0" format="22">
      <pivotArea type="data" outline="0" fieldPosition="0">
        <references count="2">
          <reference field="4294967294" count="1" selected="0">
            <x v="0"/>
          </reference>
          <reference field="0" count="1" selected="0">
            <x v="436"/>
          </reference>
        </references>
      </pivotArea>
    </chartFormat>
    <chartFormat chart="0" format="23">
      <pivotArea type="data" outline="0" fieldPosition="0">
        <references count="2">
          <reference field="4294967294" count="1" selected="0">
            <x v="0"/>
          </reference>
          <reference field="0" count="1" selected="0">
            <x v="437"/>
          </reference>
        </references>
      </pivotArea>
    </chartFormat>
    <chartFormat chart="0" format="24">
      <pivotArea type="data" outline="0" fieldPosition="0">
        <references count="2">
          <reference field="4294967294" count="1" selected="0">
            <x v="0"/>
          </reference>
          <reference field="0" count="1" selected="0">
            <x v="438"/>
          </reference>
        </references>
      </pivotArea>
    </chartFormat>
    <chartFormat chart="0" format="25">
      <pivotArea type="data" outline="0" fieldPosition="0">
        <references count="2">
          <reference field="4294967294" count="1" selected="0">
            <x v="0"/>
          </reference>
          <reference field="0" count="1" selected="0">
            <x v="439"/>
          </reference>
        </references>
      </pivotArea>
    </chartFormat>
    <chartFormat chart="0" format="26">
      <pivotArea type="data" outline="0" fieldPosition="0">
        <references count="2">
          <reference field="4294967294" count="1" selected="0">
            <x v="0"/>
          </reference>
          <reference field="0" count="1" selected="0">
            <x v="440"/>
          </reference>
        </references>
      </pivotArea>
    </chartFormat>
    <chartFormat chart="0" format="27">
      <pivotArea type="data" outline="0" fieldPosition="0">
        <references count="2">
          <reference field="4294967294" count="1" selected="0">
            <x v="0"/>
          </reference>
          <reference field="0" count="1" selected="0">
            <x v="441"/>
          </reference>
        </references>
      </pivotArea>
    </chartFormat>
    <chartFormat chart="0" format="28">
      <pivotArea type="data" outline="0" fieldPosition="0">
        <references count="2">
          <reference field="4294967294" count="1" selected="0">
            <x v="0"/>
          </reference>
          <reference field="0" count="1" selected="0">
            <x v="442"/>
          </reference>
        </references>
      </pivotArea>
    </chartFormat>
    <chartFormat chart="0" format="29">
      <pivotArea type="data" outline="0" fieldPosition="0">
        <references count="2">
          <reference field="4294967294" count="1" selected="0">
            <x v="0"/>
          </reference>
          <reference field="0" count="1" selected="0">
            <x v="443"/>
          </reference>
        </references>
      </pivotArea>
    </chartFormat>
    <chartFormat chart="0" format="30">
      <pivotArea type="data" outline="0" fieldPosition="0">
        <references count="2">
          <reference field="4294967294" count="1" selected="0">
            <x v="0"/>
          </reference>
          <reference field="0" count="1" selected="0">
            <x v="444"/>
          </reference>
        </references>
      </pivotArea>
    </chartFormat>
    <chartFormat chart="0" format="31">
      <pivotArea type="data" outline="0" fieldPosition="0">
        <references count="2">
          <reference field="4294967294" count="1" selected="0">
            <x v="0"/>
          </reference>
          <reference field="0" count="1" selected="0">
            <x v="445"/>
          </reference>
        </references>
      </pivotArea>
    </chartFormat>
    <chartFormat chart="0" format="32">
      <pivotArea type="data" outline="0" fieldPosition="0">
        <references count="2">
          <reference field="4294967294" count="1" selected="0">
            <x v="0"/>
          </reference>
          <reference field="0" count="1" selected="0">
            <x v="447"/>
          </reference>
        </references>
      </pivotArea>
    </chartFormat>
    <chartFormat chart="0" format="33">
      <pivotArea type="data" outline="0" fieldPosition="0">
        <references count="2">
          <reference field="4294967294" count="1" selected="0">
            <x v="0"/>
          </reference>
          <reference field="0" count="1" selected="0">
            <x v="448"/>
          </reference>
        </references>
      </pivotArea>
    </chartFormat>
    <chartFormat chart="0" format="34">
      <pivotArea type="data" outline="0" fieldPosition="0">
        <references count="2">
          <reference field="4294967294" count="1" selected="0">
            <x v="0"/>
          </reference>
          <reference field="0" count="1" selected="0">
            <x v="449"/>
          </reference>
        </references>
      </pivotArea>
    </chartFormat>
    <chartFormat chart="0" format="35">
      <pivotArea type="data" outline="0" fieldPosition="0">
        <references count="2">
          <reference field="4294967294" count="1" selected="0">
            <x v="0"/>
          </reference>
          <reference field="0" count="1" selected="0">
            <x v="450"/>
          </reference>
        </references>
      </pivotArea>
    </chartFormat>
    <chartFormat chart="0" format="36">
      <pivotArea type="data" outline="0" fieldPosition="0">
        <references count="2">
          <reference field="4294967294" count="1" selected="0">
            <x v="0"/>
          </reference>
          <reference field="0" count="1" selected="0">
            <x v="45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chartFormat="21">
  <location ref="E4:I26" firstHeaderRow="0" firstDataRow="1" firstDataCol="1" rowPageCount="1" colPageCount="1"/>
  <pivotFields count="19">
    <pivotField axis="axisRow" showAll="0">
      <items count="469">
        <item x="0"/>
        <item x="1"/>
        <item x="2"/>
        <item m="1" x="424"/>
        <item x="3"/>
        <item m="1" x="377"/>
        <item m="1" x="356"/>
        <item m="1" x="308"/>
        <item m="1" x="282"/>
        <item x="4"/>
        <item m="1" x="450"/>
        <item x="5"/>
        <item m="1" x="407"/>
        <item m="1" x="382"/>
        <item x="6"/>
        <item m="1" x="333"/>
        <item m="1" x="311"/>
        <item x="7"/>
        <item m="1" x="264"/>
        <item m="1" x="233"/>
        <item m="1" x="454"/>
        <item m="1" x="433"/>
        <item m="1" x="387"/>
        <item m="1" x="363"/>
        <item m="1" x="337"/>
        <item m="1" x="291"/>
        <item x="8"/>
        <item x="9"/>
        <item m="1" x="412"/>
        <item x="10"/>
        <item x="11"/>
        <item m="1" x="461"/>
        <item x="12"/>
        <item x="13"/>
        <item x="14"/>
        <item x="15"/>
        <item m="1" x="393"/>
        <item x="16"/>
        <item m="1" x="349"/>
        <item m="1" x="300"/>
        <item m="1" x="251"/>
        <item m="1" x="420"/>
        <item m="1" x="352"/>
        <item m="1" x="255"/>
        <item m="1" x="227"/>
        <item m="1" x="446"/>
        <item m="1" x="425"/>
        <item x="17"/>
        <item m="1" x="357"/>
        <item m="1" x="259"/>
        <item x="18"/>
        <item m="1" x="451"/>
        <item m="1" x="429"/>
        <item m="1" x="408"/>
        <item m="1" x="383"/>
        <item m="1" x="360"/>
        <item m="1" x="312"/>
        <item m="1" x="287"/>
        <item m="1" x="234"/>
        <item m="1" x="338"/>
        <item x="19"/>
        <item x="20"/>
        <item x="21"/>
        <item x="22"/>
        <item x="23"/>
        <item x="24"/>
        <item x="25"/>
        <item m="1" x="271"/>
        <item x="26"/>
        <item x="27"/>
        <item x="28"/>
        <item x="29"/>
        <item x="30"/>
        <item x="31"/>
        <item x="32"/>
        <item x="33"/>
        <item m="1" x="301"/>
        <item x="34"/>
        <item m="1" x="223"/>
        <item x="35"/>
        <item x="36"/>
        <item m="1" x="327"/>
        <item x="37"/>
        <item x="38"/>
        <item x="39"/>
        <item x="40"/>
        <item x="41"/>
        <item x="42"/>
        <item m="1" x="358"/>
        <item x="43"/>
        <item m="1" x="260"/>
        <item m="1" x="430"/>
        <item m="1" x="409"/>
        <item m="1" x="334"/>
        <item m="1" x="313"/>
        <item x="44"/>
        <item m="1" x="265"/>
        <item x="45"/>
        <item x="46"/>
        <item x="47"/>
        <item x="48"/>
        <item m="1" x="238"/>
        <item m="1" x="458"/>
        <item m="1" x="437"/>
        <item m="1" x="413"/>
        <item x="49"/>
        <item x="50"/>
        <item x="51"/>
        <item x="52"/>
        <item x="53"/>
        <item x="54"/>
        <item m="1" x="353"/>
        <item x="55"/>
        <item x="56"/>
        <item m="1" x="256"/>
        <item x="57"/>
        <item m="1" x="447"/>
        <item x="58"/>
        <item x="59"/>
        <item m="1" x="235"/>
        <item m="1" x="455"/>
        <item m="1" x="434"/>
        <item x="60"/>
        <item m="1" x="364"/>
        <item x="61"/>
        <item x="62"/>
        <item x="63"/>
        <item x="64"/>
        <item x="65"/>
        <item x="66"/>
        <item m="1" x="417"/>
        <item m="1" x="392"/>
        <item m="1" x="368"/>
        <item x="67"/>
        <item m="1" x="465"/>
        <item x="68"/>
        <item x="69"/>
        <item x="70"/>
        <item x="71"/>
        <item x="72"/>
        <item x="73"/>
        <item x="74"/>
        <item m="1" x="421"/>
        <item x="75"/>
        <item x="76"/>
        <item x="77"/>
        <item m="1" x="283"/>
        <item m="1" x="452"/>
        <item x="78"/>
        <item x="79"/>
        <item x="80"/>
        <item x="81"/>
        <item x="82"/>
        <item x="83"/>
        <item x="84"/>
        <item x="85"/>
        <item x="86"/>
        <item m="1" x="347"/>
        <item x="87"/>
        <item m="1" x="466"/>
        <item x="88"/>
        <item m="1" x="394"/>
        <item x="89"/>
        <item x="90"/>
        <item x="91"/>
        <item m="1" x="279"/>
        <item x="92"/>
        <item x="93"/>
        <item m="1" x="448"/>
        <item x="94"/>
        <item m="1" x="378"/>
        <item m="1" x="359"/>
        <item m="1" x="330"/>
        <item x="95"/>
        <item x="96"/>
        <item x="97"/>
        <item x="98"/>
        <item x="99"/>
        <item x="100"/>
        <item x="101"/>
        <item x="102"/>
        <item x="103"/>
        <item x="104"/>
        <item m="1" x="456"/>
        <item m="1" x="435"/>
        <item x="105"/>
        <item x="106"/>
        <item m="1" x="339"/>
        <item m="1" x="315"/>
        <item x="107"/>
        <item x="108"/>
        <item m="1" x="462"/>
        <item x="109"/>
        <item x="110"/>
        <item x="111"/>
        <item m="1" x="323"/>
        <item x="112"/>
        <item m="1" x="442"/>
        <item x="113"/>
        <item x="114"/>
        <item m="1" x="326"/>
        <item x="115"/>
        <item x="116"/>
        <item m="1" x="449"/>
        <item m="1" x="403"/>
        <item m="1" x="379"/>
        <item x="117"/>
        <item m="1" x="229"/>
        <item x="118"/>
        <item x="119"/>
        <item x="120"/>
        <item m="1" x="266"/>
        <item x="121"/>
        <item m="1" x="316"/>
        <item m="1" x="268"/>
        <item m="1" x="239"/>
        <item m="1" x="459"/>
        <item x="122"/>
        <item x="123"/>
        <item m="1" x="272"/>
        <item x="124"/>
        <item x="125"/>
        <item x="126"/>
        <item m="1" x="443"/>
        <item x="127"/>
        <item m="1" x="395"/>
        <item m="1" x="371"/>
        <item x="128"/>
        <item x="129"/>
        <item m="1" x="277"/>
        <item m="1" x="252"/>
        <item m="1" x="224"/>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m="1" x="305"/>
        <item x="165"/>
        <item m="1" x="309"/>
        <item m="1" x="284"/>
        <item m="1" x="261"/>
        <item x="166"/>
        <item x="167"/>
        <item m="1" x="314"/>
        <item x="168"/>
        <item m="1" x="236"/>
        <item x="169"/>
        <item x="170"/>
        <item m="1" x="400"/>
        <item m="1" x="374"/>
        <item m="1" x="354"/>
        <item m="1" x="328"/>
        <item m="1" x="306"/>
        <item m="1" x="426"/>
        <item m="1" x="404"/>
        <item m="1" x="380"/>
        <item x="171"/>
        <item x="172"/>
        <item m="1" x="453"/>
        <item m="1" x="431"/>
        <item m="1" x="410"/>
        <item m="1" x="384"/>
        <item m="1" x="361"/>
        <item m="1" x="335"/>
        <item m="1" x="288"/>
        <item x="173"/>
        <item m="1" x="292"/>
        <item m="1" x="240"/>
        <item m="1" x="390"/>
        <item m="1" x="366"/>
        <item x="174"/>
        <item m="1" x="262"/>
        <item m="1" x="432"/>
        <item m="1" x="385"/>
        <item x="175"/>
        <item x="176"/>
        <item x="177"/>
        <item x="178"/>
        <item m="1" x="388"/>
        <item m="1" x="365"/>
        <item m="1" x="340"/>
        <item m="1" x="317"/>
        <item m="1" x="293"/>
        <item m="1" x="269"/>
        <item m="1" x="241"/>
        <item x="179"/>
        <item m="1" x="414"/>
        <item x="180"/>
        <item m="1" x="343"/>
        <item m="1" x="320"/>
        <item m="1" x="294"/>
        <item m="1" x="245"/>
        <item x="181"/>
        <item m="1" x="439"/>
        <item m="1" x="418"/>
        <item x="182"/>
        <item m="1" x="348"/>
        <item m="1" x="324"/>
        <item m="1" x="275"/>
        <item m="1" x="247"/>
        <item x="183"/>
        <item m="1" x="444"/>
        <item x="184"/>
        <item m="1" x="396"/>
        <item m="1" x="372"/>
        <item m="1" x="350"/>
        <item x="185"/>
        <item m="1" x="278"/>
        <item m="1" x="253"/>
        <item m="1" x="225"/>
        <item x="186"/>
        <item m="1" x="422"/>
        <item m="1" x="401"/>
        <item m="1" x="375"/>
        <item m="1" x="355"/>
        <item m="1" x="329"/>
        <item x="187"/>
        <item m="1" x="280"/>
        <item m="1" x="257"/>
        <item m="1" x="228"/>
        <item m="1" x="427"/>
        <item m="1" x="405"/>
        <item m="1" x="381"/>
        <item m="1" x="331"/>
        <item m="1" x="310"/>
        <item m="1" x="285"/>
        <item m="1" x="263"/>
        <item m="1" x="230"/>
        <item x="188"/>
        <item x="189"/>
        <item x="190"/>
        <item x="191"/>
        <item m="1" x="344"/>
        <item m="1" x="463"/>
        <item m="1" x="440"/>
        <item x="192"/>
        <item m="1" x="369"/>
        <item m="1" x="325"/>
        <item m="1" x="298"/>
        <item m="1" x="276"/>
        <item m="1" x="248"/>
        <item x="193"/>
        <item m="1" x="397"/>
        <item m="1" x="302"/>
        <item m="1" x="402"/>
        <item m="1" x="376"/>
        <item m="1" x="307"/>
        <item m="1" x="281"/>
        <item x="194"/>
        <item x="195"/>
        <item m="1" x="332"/>
        <item m="1" x="231"/>
        <item m="1" x="386"/>
        <item m="1" x="362"/>
        <item m="1" x="336"/>
        <item x="196"/>
        <item m="1" x="289"/>
        <item m="1" x="436"/>
        <item m="1" x="341"/>
        <item m="1" x="318"/>
        <item x="197"/>
        <item m="1" x="242"/>
        <item x="198"/>
        <item m="1" x="415"/>
        <item x="199"/>
        <item m="1" x="345"/>
        <item m="1" x="321"/>
        <item m="1" x="295"/>
        <item m="1" x="273"/>
        <item m="1" x="246"/>
        <item m="1" x="464"/>
        <item m="1" x="441"/>
        <item x="200"/>
        <item x="201"/>
        <item x="202"/>
        <item x="203"/>
        <item m="1" x="249"/>
        <item x="204"/>
        <item x="205"/>
        <item m="1" x="398"/>
        <item x="206"/>
        <item x="207"/>
        <item m="1" x="303"/>
        <item x="208"/>
        <item m="1" x="445"/>
        <item x="209"/>
        <item m="1" x="258"/>
        <item x="210"/>
        <item m="1" x="428"/>
        <item m="1" x="406"/>
        <item x="211"/>
        <item m="1" x="232"/>
        <item x="212"/>
        <item m="1" x="411"/>
        <item x="213"/>
        <item m="1" x="290"/>
        <item m="1" x="267"/>
        <item m="1" x="389"/>
        <item m="1" x="342"/>
        <item m="1" x="319"/>
        <item m="1" x="270"/>
        <item m="1" x="243"/>
        <item x="214"/>
        <item m="1" x="296"/>
        <item m="1" x="274"/>
        <item x="215"/>
        <item x="216"/>
        <item m="1" x="370"/>
        <item m="1" x="250"/>
        <item m="1" x="467"/>
        <item x="217"/>
        <item m="1" x="419"/>
        <item m="1" x="399"/>
        <item m="1" x="373"/>
        <item m="1" x="351"/>
        <item m="1" x="304"/>
        <item m="1" x="254"/>
        <item m="1" x="226"/>
        <item m="1" x="423"/>
        <item x="218"/>
        <item m="1" x="286"/>
        <item x="219"/>
        <item m="1" x="237"/>
        <item m="1" x="457"/>
        <item x="220"/>
        <item x="221"/>
        <item m="1" x="244"/>
        <item m="1" x="460"/>
        <item m="1" x="438"/>
        <item m="1" x="416"/>
        <item m="1" x="391"/>
        <item m="1" x="367"/>
        <item m="1" x="346"/>
        <item m="1" x="322"/>
        <item m="1" x="297"/>
        <item x="222"/>
        <item m="1" x="299"/>
        <item t="default"/>
      </items>
    </pivotField>
    <pivotField showAll="0"/>
    <pivotField axis="axisPage" multipleItemSelectionAllowed="1" showAll="0">
      <items count="25">
        <item h="1" x="11"/>
        <item h="1" x="4"/>
        <item x="8"/>
        <item h="1" x="10"/>
        <item h="1" x="3"/>
        <item h="1" x="17"/>
        <item h="1" x="9"/>
        <item h="1" x="23"/>
        <item h="1" x="0"/>
        <item h="1" x="14"/>
        <item h="1" x="18"/>
        <item h="1" x="12"/>
        <item h="1" x="7"/>
        <item h="1" x="5"/>
        <item h="1" x="16"/>
        <item h="1" x="6"/>
        <item h="1" x="1"/>
        <item h="1" x="15"/>
        <item h="1" x="2"/>
        <item h="1" x="22"/>
        <item h="1" x="13"/>
        <item h="1" x="19"/>
        <item h="1" x="20"/>
        <item h="1" x="21"/>
        <item t="default"/>
      </items>
    </pivotField>
    <pivotField showAll="0"/>
    <pivotField dataField="1" numFmtId="3" showAll="0" defaultSubtotal="0"/>
    <pivotField showAll="0"/>
    <pivotField showAll="0"/>
    <pivotField dataField="1" numFmtId="3" showAll="0" defaultSubtotal="0"/>
    <pivotField showAll="0"/>
    <pivotField showAll="0"/>
    <pivotField dataField="1" numFmtId="3" showAll="0" defaultSubtotal="0"/>
    <pivotField showAll="0"/>
    <pivotField showAll="0"/>
    <pivotField dataField="1" numFmtId="3" showAll="0" defaultSubtotal="0"/>
    <pivotField showAll="0"/>
    <pivotField showAll="0"/>
    <pivotField numFmtId="10" showAll="0" defaultSubtotal="0"/>
    <pivotField showAll="0"/>
    <pivotField numFmtId="4" showAll="0"/>
  </pivotFields>
  <rowFields count="1">
    <field x="0"/>
  </rowFields>
  <rowItems count="22">
    <i>
      <x v="167"/>
    </i>
    <i>
      <x v="185"/>
    </i>
    <i>
      <x v="202"/>
    </i>
    <i>
      <x v="210"/>
    </i>
    <i>
      <x v="217"/>
    </i>
    <i>
      <x v="218"/>
    </i>
    <i>
      <x v="222"/>
    </i>
    <i>
      <x v="235"/>
    </i>
    <i>
      <x v="238"/>
    </i>
    <i>
      <x v="239"/>
    </i>
    <i>
      <x v="250"/>
    </i>
    <i>
      <x v="251"/>
    </i>
    <i>
      <x v="252"/>
    </i>
    <i>
      <x v="253"/>
    </i>
    <i>
      <x v="258"/>
    </i>
    <i>
      <x v="259"/>
    </i>
    <i>
      <x v="263"/>
    </i>
    <i>
      <x v="264"/>
    </i>
    <i>
      <x v="265"/>
    </i>
    <i>
      <x v="268"/>
    </i>
    <i>
      <x v="272"/>
    </i>
    <i t="grand">
      <x/>
    </i>
  </rowItems>
  <colFields count="1">
    <field x="-2"/>
  </colFields>
  <colItems count="4">
    <i>
      <x/>
    </i>
    <i i="1">
      <x v="1"/>
    </i>
    <i i="2">
      <x v="2"/>
    </i>
    <i i="3">
      <x v="3"/>
    </i>
  </colItems>
  <pageFields count="1">
    <pageField fld="2" hier="-1"/>
  </pageFields>
  <dataFields count="4">
    <dataField name="Sum of Adjusted Below 138% of FPL - Uninsured" fld="4" baseField="0" baseItem="0"/>
    <dataField name="Sum of Adjusted 138 to 199% of FPL - Uninsured" fld="7" baseField="0" baseItem="0"/>
    <dataField name="Sum of Adjusted 200 to 399% of FPL - Uninsured" fld="10" baseField="0" baseItem="0"/>
    <dataField name="Sum of Adjusted 400% FPL and over - Uninsured" fld="13" baseField="0" baseItem="0"/>
  </dataFields>
  <chartFormats count="4">
    <chartFormat chart="0" format="5" series="1">
      <pivotArea type="data" outline="0" fieldPosition="0">
        <references count="1">
          <reference field="4294967294" count="1" selected="0">
            <x v="0"/>
          </reference>
        </references>
      </pivotArea>
    </chartFormat>
    <chartFormat chart="0" format="6" series="1">
      <pivotArea type="data" outline="0" fieldPosition="0">
        <references count="1">
          <reference field="4294967294" count="1" selected="0">
            <x v="1"/>
          </reference>
        </references>
      </pivotArea>
    </chartFormat>
    <chartFormat chart="0" format="7" series="1">
      <pivotArea type="data" outline="0" fieldPosition="0">
        <references count="1">
          <reference field="4294967294" count="1" selected="0">
            <x v="2"/>
          </reference>
        </references>
      </pivotArea>
    </chartFormat>
    <chartFormat chart="0" format="8" series="1">
      <pivotArea type="data" outline="0" fieldPosition="0">
        <references count="1">
          <reference field="4294967294"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ables/table1.xml><?xml version="1.0" encoding="utf-8"?>
<table xmlns="http://schemas.openxmlformats.org/spreadsheetml/2006/main" id="10" name="InterestStateTbl" displayName="InterestStateTbl" ref="A1:B55" totalsRowShown="0" tableBorderDxfId="251">
  <autoFilter ref="A1:B55"/>
  <tableColumns count="2">
    <tableColumn id="1" name="Groups of Interest" dataDxfId="250"/>
    <tableColumn id="2" name="Statewide"/>
  </tableColumns>
  <tableStyleInfo name="TableStyleMedium2" showFirstColumn="0" showLastColumn="0" showRowStripes="1" showColumnStripes="0"/>
</table>
</file>

<file path=xl/tables/table2.xml><?xml version="1.0" encoding="utf-8"?>
<table xmlns="http://schemas.openxmlformats.org/spreadsheetml/2006/main" id="9" name="UninsuredTable" displayName="UninsuredTable" ref="A2:S228" totalsRowCount="1" headerRowDxfId="249">
  <autoFilter ref="A2:S227"/>
  <sortState ref="A215:P222">
    <sortCondition descending="1" ref="G2:G227"/>
  </sortState>
  <tableColumns count="19">
    <tableColumn id="1" name="ZIP code" totalsRowLabel="Total"/>
    <tableColumn id="2" name="City" totalsRowLabel="Statewide"/>
    <tableColumn id="3" name="County"/>
    <tableColumn id="4" name="Total Population" totalsRowFunction="sum"/>
    <tableColumn id="5" name="Total Uninsured Population" totalsRowFunction="sum">
      <calculatedColumnFormula>I3+L3+O3+R3</calculatedColumnFormula>
    </tableColumn>
    <tableColumn id="6" name="Adjusted Total Uninsured" totalsRowFunction="sum">
      <calculatedColumnFormula>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calculatedColumnFormula>
    </tableColumn>
    <tableColumn id="15" name="Alternate Adj Total Uninsured" totalsRowFunction="sum" dataDxfId="248" totalsRowDxfId="5">
      <calculatedColumnFormula>IF(UninsuredTable[[#This Row],[Total Uninsured Population]]&lt;1000,UninsuredTable[[#This Row],[Total Uninsured Population]],MAX(VLOOKUP(UninsuredTable[[#This Row],[ZIP code]],IRSzipToCntyTbl[#All],3,0),(UninsuredTable[[#This Row],[Total Uninsured Population]]-(109811*(VLOOKUP(UninsuredTable[[#This Row],[ZIP code]],CitizenshipTbl[#All],4,0))))*0.8))</calculatedColumnFormula>
    </tableColumn>
    <tableColumn id="7" name="Below 138% of FPL" totalsRowFunction="sum" dataDxfId="247" totalsRowDxfId="4"/>
    <tableColumn id="8" name="Below 138% of FPL - No Health Insurance" totalsRowFunction="sum">
      <calculatedColumnFormula>SUM(VLOOKUP(UninsuredTable[[#This Row],[ZIP code]],ModifiedBaseTable!B:R,11,0),VLOOKUP(UninsuredTable[[#This Row],[ZIP code]],ModifiedBaseTable!B:R,17,0))</calculatedColumnFormula>
    </tableColumn>
    <tableColumn id="16" name="Adjusted Below 138% of FPL - No Health Insurance" totalsRowFunction="sum" dataDxfId="246" totalsRowDxfId="3">
      <calculatedColumnFormula>UninsuredTable[[#This Row],[Alternate Adj Total Uninsured]]*(UninsuredTable[[#This Row],[Below 138% of FPL - No Health Insurance]]/UninsuredTable[[#This Row],[Total Uninsured Population]])</calculatedColumnFormula>
    </tableColumn>
    <tableColumn id="9" name="138 to 199% of FPL" totalsRowFunction="sum"/>
    <tableColumn id="10" name="138% to 199% - No Health Insurance" totalsRowFunction="sum"/>
    <tableColumn id="17" name="Adjusted 138% to 199% - No Health Insurance" totalsRowFunction="sum" dataDxfId="245" totalsRowDxfId="2">
      <calculatedColumnFormula>UninsuredTable[[#This Row],[Alternate Adj Total Uninsured]]*(UninsuredTable[[#This Row],[138% to 199% - No Health Insurance]]/UninsuredTable[[#This Row],[Total Uninsured Population]])</calculatedColumnFormula>
    </tableColumn>
    <tableColumn id="11" name="200 to 399% of FPL" totalsRowFunction="sum"/>
    <tableColumn id="12" name="200 to 399% of FPL - No Health Insurance" totalsRowFunction="sum"/>
    <tableColumn id="18" name="Adjusted 200 to 399% of FPL - No Health Insurance" totalsRowFunction="sum" dataDxfId="244" totalsRowDxfId="1">
      <calculatedColumnFormula>UninsuredTable[[#This Row],[Alternate Adj Total Uninsured]]*(UninsuredTable[[#This Row],[200 to 399% of FPL - No Health Insurance]]/UninsuredTable[[#This Row],[Total Uninsured Population]])</calculatedColumnFormula>
    </tableColumn>
    <tableColumn id="13" name="400% FPL and over" totalsRowFunction="sum"/>
    <tableColumn id="14" name="400% FPL and over - No Health Insurance" totalsRowFunction="sum"/>
    <tableColumn id="19" name="Adjusted 400% FPL and over - No Health Insurance" totalsRowFunction="sum" dataDxfId="243" totalsRowDxfId="0">
      <calculatedColumnFormula>UninsuredTable[[#This Row],[Alternate Adj Total Uninsured]]*(UninsuredTable[[#This Row],[400% FPL and over - No Health Insurance]]/UninsuredTable[[#This Row],[Total Uninsured Population]])</calculatedColumnFormula>
    </tableColumn>
  </tableColumns>
  <tableStyleInfo name="TableStyleMedium2" showFirstColumn="0" showLastColumn="0" showRowStripes="1" showColumnStripes="0"/>
</table>
</file>

<file path=xl/tables/table3.xml><?xml version="1.0" encoding="utf-8"?>
<table xmlns="http://schemas.openxmlformats.org/spreadsheetml/2006/main" id="3" name="UninsLT18to64" displayName="UninsLT18to64" ref="A2:S226" totalsRowCount="1" headerRowDxfId="242" dataDxfId="241" totalsRowDxfId="239" tableBorderDxfId="240">
  <autoFilter ref="A2:S225"/>
  <sortState ref="A3:S225">
    <sortCondition ref="A2:A225"/>
  </sortState>
  <tableColumns count="19">
    <tableColumn id="1" name="ZIP Code" totalsRowLabel="Total" dataDxfId="238" totalsRowDxfId="24"/>
    <tableColumn id="2" name="City" dataDxfId="237" totalsRowDxfId="23">
      <calculatedColumnFormula>VLOOKUP(A3,ZipToCntyTbl[#All],2,0)</calculatedColumnFormula>
    </tableColumn>
    <tableColumn id="3" name="County" dataDxfId="236" totalsRowDxfId="22">
      <calculatedColumnFormula>VLOOKUP(A3,ZipToCntyTbl[#All],3,0)</calculatedColumnFormula>
    </tableColumn>
    <tableColumn id="4" name="Below 138% of FPL - Uninsured" totalsRowFunction="sum" dataDxfId="235" totalsRowDxfId="21"/>
    <tableColumn id="16" name="Adjusted Below 138% of FPL - Uninsured" totalsRowFunction="sum" dataDxfId="234" totalsRowDxfId="20">
      <calculatedColumnFormula>UninsLT18to64[[#This Row],[Alternate Adj. Total]]*(UninsLT18to64[[#This Row],[Below 138% of FPL - Uninsured]]/UninsLT18to64[[#This Row],[Total]])</calculatedColumnFormula>
    </tableColumn>
    <tableColumn id="5" name="MOE - Below 138% of FPL - Uninsured" dataDxfId="233" totalsRowDxfId="19"/>
    <tableColumn id="6" name="138 to 199% of FPL - Uninsured" totalsRowFunction="sum" dataDxfId="232" totalsRowDxfId="18"/>
    <tableColumn id="19" name="Adjusted 138 to 199% of FPL - Uninsured" totalsRowFunction="sum" dataDxfId="231" totalsRowDxfId="17">
      <calculatedColumnFormula>UninsLT18to64[[#This Row],[Alternate Adj. Total]]*(UninsLT18to64[[#This Row],[138 to 199% of FPL - Uninsured]]/UninsLT18to64[[#This Row],[Total]])</calculatedColumnFormula>
    </tableColumn>
    <tableColumn id="7" name="MOE - 139 to 199% of FPL - Uninsured" dataDxfId="230" totalsRowDxfId="16"/>
    <tableColumn id="8" name="200 to 399% of FPL - Uninsured" totalsRowFunction="sum" dataDxfId="229" totalsRowDxfId="15"/>
    <tableColumn id="20" name="Adjusted 200 to 399% of FPL - Uninsured" totalsRowFunction="sum" dataDxfId="228" totalsRowDxfId="14">
      <calculatedColumnFormula>UninsLT18to64[[#This Row],[Alternate Adj. Total]]*(UninsLT18to64[[#This Row],[200 to 399% of FPL - Uninsured]]/UninsLT18to64[[#This Row],[Total]])</calculatedColumnFormula>
    </tableColumn>
    <tableColumn id="9" name="MOE - 201 to 399% of FPL - Uninsured" dataDxfId="227" totalsRowDxfId="13"/>
    <tableColumn id="10" name="400% FPL and over - Uninsured" totalsRowFunction="sum" dataDxfId="226" totalsRowDxfId="12"/>
    <tableColumn id="21" name="Adjusted 400% FPL and over - Uninsured" totalsRowFunction="sum" dataDxfId="225" totalsRowDxfId="11">
      <calculatedColumnFormula>UninsLT18to64[[#This Row],[Alternate Adj. Total]]*(UninsLT18to64[[#This Row],[400% FPL and over - Uninsured]]/UninsLT18to64[[#This Row],[Total]])</calculatedColumnFormula>
    </tableColumn>
    <tableColumn id="11" name="MOE - 400% FPL and over - Uninsured" dataDxfId="224" totalsRowDxfId="10"/>
    <tableColumn id="12" name="Total" totalsRowFunction="sum" dataDxfId="223" totalsRowDxfId="9"/>
    <tableColumn id="17" name="Relative Standard Error - Total" dataDxfId="222" totalsRowDxfId="8"/>
    <tableColumn id="13" name="Adjusted Total" totalsRowFunction="sum" dataDxfId="221" totalsRowDxfId="7">
      <calculatedColumnFormula>IF(UninsLT18to64[[#This Row],[Total]]&lt;1000,UninsLT18to64[[#This Row],[Total]],MAX(VLOOKUP(UninsLT18to64[[#This Row],[ZIP Code]],IRSzipToCntyTbl[#All],3,0),(UninsLT18to64[[#This Row],[Total]]-(VLOOKUP(UninsLT18to64[[#This Row],[ZIP Code]],CitizenshipTbl[[#All],[ZIP Code]:[Estimate; Foreign Born: - Noncitizen: - No health insurance coverage]],3,0))))*0.8)</calculatedColumnFormula>
    </tableColumn>
    <tableColumn id="14" name="Alternate Adj. Total" totalsRowFunction="sum" dataDxfId="220" totalsRowDxfId="6">
      <calculatedColumnFormula>IF(UninsLT18to64[[#This Row],[Total]]&lt;1000,UninsLT18to64[[#This Row],[Total]],MAX(VLOOKUP(UninsLT18to64[[#This Row],[ZIP Code]],IRSzipToCntyTbl[#All],3,0),(UninsLT18to64[[#This Row],[Total]]-(109811*(VLOOKUP(UninsLT18to64[[#This Row],[ZIP Code]],CitizenshipTbl[#All],4,0))))*0.8))</calculatedColumnFormula>
    </tableColumn>
  </tableColumns>
  <tableStyleInfo name="TableStyleMedium2" showFirstColumn="0" showLastColumn="0" showRowStripes="1" showColumnStripes="0"/>
</table>
</file>

<file path=xl/tables/table4.xml><?xml version="1.0" encoding="utf-8"?>
<table xmlns="http://schemas.openxmlformats.org/spreadsheetml/2006/main" id="11" name="MostNeedCntyTbl" displayName="MostNeedCntyTbl" ref="A3:J28" totalsRowCount="1" headerRowDxfId="219" tableBorderDxfId="218">
  <autoFilter ref="A3:J27"/>
  <sortState ref="A4:J27">
    <sortCondition ref="A3:A27"/>
  </sortState>
  <tableColumns count="10">
    <tableColumn id="1" name="County" totalsRowLabel="Total" dataDxfId="217" totalsRowDxfId="216"/>
    <tableColumn id="2" name="Below 138% of FPL - Uninsured" totalsRowFunction="sum" dataDxfId="215" totalsRowDxfId="214">
      <calculatedColumnFormula>SUMIF(UninsLT18to64[County],MostNeedCntyTbl[[#This Row],[County]],UninsLT18to64[Adjusted Below 138% of FPL - Uninsured])</calculatedColumnFormula>
    </tableColumn>
    <tableColumn id="3" name="138 to 199% of FPL - Uninsured" totalsRowFunction="sum" dataDxfId="213" totalsRowDxfId="212">
      <calculatedColumnFormula>SUMIF(UninsLT18to64[County],MostNeedCntyTbl[[#This Row],[County]],UninsLT18to64[Adjusted 138 to 199% of FPL - Uninsured])</calculatedColumnFormula>
    </tableColumn>
    <tableColumn id="4" name="200 to 399% of FPL - Uninsured" totalsRowFunction="sum" dataDxfId="211" totalsRowDxfId="210">
      <calculatedColumnFormula>SUMIF(UninsLT18to64[County],MostNeedCntyTbl[[#This Row],[County]],UninsLT18to64[Adjusted 200 to 399% of FPL - Uninsured])</calculatedColumnFormula>
    </tableColumn>
    <tableColumn id="5" name="400% FPL and over - Uninsured" totalsRowFunction="sum" dataDxfId="209" totalsRowDxfId="208">
      <calculatedColumnFormula>SUMIF(UninsLT18to64[County],MostNeedCntyTbl[[#This Row],[County]],UninsLT18to64[Adjusted 400% FPL and over - Uninsured])</calculatedColumnFormula>
    </tableColumn>
    <tableColumn id="6" name="Raw Uninsured Total" totalsRowFunction="sum" dataDxfId="207" totalsRowDxfId="206">
      <calculatedColumnFormula>SUMIF(UninsLT18to64[County],MostNeedCntyTbl[[#This Row],[County]],UninsLT18to64[Total])</calculatedColumnFormula>
    </tableColumn>
    <tableColumn id="7" name="Alternate Adj. Total" totalsRowFunction="sum" dataDxfId="205" totalsRowDxfId="204">
      <calculatedColumnFormula>SUMIF(UninsLT18to64[County],MostNeedCntyTbl[[#This Row],[County]],UninsLT18to64[Alternate Adj. Total])</calculatedColumnFormula>
    </tableColumn>
    <tableColumn id="8" name="% State" dataDxfId="203" totalsRowDxfId="202">
      <calculatedColumnFormula>F4/$K$4</calculatedColumnFormula>
    </tableColumn>
    <tableColumn id="9" name="% State Adj." totalsRowDxfId="201">
      <calculatedColumnFormula>G4/$K$4</calculatedColumnFormula>
    </tableColumn>
    <tableColumn id="10" name="% County" dataDxfId="200">
      <calculatedColumnFormula>MostNeedCntyTbl[[#This Row],[Raw Uninsured Total]]/(SUMIF(UninsuredTable[County],MostNeedCntyTbl[[#This Row],[County]],UninsuredTable[Total Population]))</calculatedColumnFormula>
    </tableColumn>
  </tableColumns>
  <tableStyleInfo name="TableStyleMedium2" showFirstColumn="0" showLastColumn="0" showRowStripes="1" showColumnStripes="0"/>
</table>
</file>

<file path=xl/tables/table5.xml><?xml version="1.0" encoding="utf-8"?>
<table xmlns="http://schemas.openxmlformats.org/spreadsheetml/2006/main" id="6" name="IRSDataTbl" displayName="IRSDataTbl" ref="A1:G407" totalsRowShown="0">
  <autoFilter ref="A1:G407"/>
  <tableColumns count="7">
    <tableColumn id="1" name="ZIP code"/>
    <tableColumn id="2" name="Size of adjusted gross income"/>
    <tableColumn id="3" name="Number of returns"/>
    <tableColumn id="4" name="Advance premium tax credit"/>
    <tableColumn id="5" name="APTC Amount"/>
    <tableColumn id="6" name="Health care individual responsibility payment"/>
    <tableColumn id="7" name="Payment Amount"/>
  </tableColumns>
  <tableStyleInfo name="TableStyleMedium2" showFirstColumn="0" showLastColumn="0" showRowStripes="1" showColumnStripes="0"/>
</table>
</file>

<file path=xl/tables/table6.xml><?xml version="1.0" encoding="utf-8"?>
<table xmlns="http://schemas.openxmlformats.org/spreadsheetml/2006/main" id="7" name="IRSzipToCntyTbl" displayName="IRSzipToCntyTbl" ref="I1:K405" totalsRowShown="0" tableBorderDxfId="199">
  <autoFilter ref="I1:K405"/>
  <tableColumns count="3">
    <tableColumn id="1" name="ZIP code" dataDxfId="198"/>
    <tableColumn id="2" name="County">
      <calculatedColumnFormula>VLOOKUP(I2,ZipToCntyTbl[#All],3,0)</calculatedColumnFormula>
    </tableColumn>
    <tableColumn id="3" name="Health care individual responsibility payment" dataDxfId="197"/>
  </tableColumns>
  <tableStyleInfo name="TableStyleMedium2" showFirstColumn="0" showLastColumn="0" showRowStripes="1" showColumnStripes="0"/>
</table>
</file>

<file path=xl/tables/table7.xml><?xml version="1.0" encoding="utf-8"?>
<table xmlns="http://schemas.openxmlformats.org/spreadsheetml/2006/main" id="8" name="IRSCntyTbl" displayName="IRSCntyTbl" ref="M1:N25" totalsRowShown="0">
  <autoFilter ref="M1:N25"/>
  <tableColumns count="2">
    <tableColumn id="1" name="county"/>
    <tableColumn id="2" name="Payment Returns">
      <calculatedColumnFormula>SUMIF(IRSzipToCntyTbl[[#All],[County]],M2,IRSzipToCntyTbl[[#All],[Health care individual responsibility payment]])</calculatedColumnFormula>
    </tableColumn>
  </tableColumns>
  <tableStyleInfo name="TableStyleMedium2" showFirstColumn="0" showLastColumn="0" showRowStripes="1" showColumnStripes="0"/>
</table>
</file>

<file path=xl/tables/table8.xml><?xml version="1.0" encoding="utf-8"?>
<table xmlns="http://schemas.openxmlformats.org/spreadsheetml/2006/main" id="4" name="CitizenshipTbl" displayName="CitizenshipTbl" ref="A1:D470" totalsRowCount="1">
  <autoFilter ref="A1:D469"/>
  <tableColumns count="4">
    <tableColumn id="1" name="ZIP Code" totalsRowLabel="Total"/>
    <tableColumn id="2" name="County"/>
    <tableColumn id="3" name="Estimate; Foreign Born: - Noncitizen: - No health insurance coverage" totalsRowFunction="sum"/>
    <tableColumn id="4" name="% Dist" totalsRowFunction="sum"/>
  </tableColumns>
  <tableStyleInfo name="TableStyleMedium2" showFirstColumn="0" showLastColumn="0" showRowStripes="1" showColumnStripes="0"/>
</table>
</file>

<file path=xl/tables/table9.xml><?xml version="1.0" encoding="utf-8"?>
<table xmlns="http://schemas.openxmlformats.org/spreadsheetml/2006/main" id="5" name="CntyCitizenTbl" displayName="CntyCitizenTbl" ref="F1:H25" totalsRowShown="0">
  <autoFilter ref="F1:H25"/>
  <tableColumns count="3">
    <tableColumn id="1" name="County"/>
    <tableColumn id="2" name="Uninsured"/>
    <tableColumn id="3" name="% Dist"/>
  </tableColumns>
  <tableStyleInfo name="TableStyleMedium2" showFirstColumn="0" showLastColumn="0" showRowStripes="1" showColumnStripes="0"/>
</table>
</file>

<file path=xl/tables/table10.xml><?xml version="1.0" encoding="utf-8"?>
<table xmlns="http://schemas.openxmlformats.org/spreadsheetml/2006/main" id="1" name="BaseTable" displayName="BaseTable" ref="A1:CG470" totalsRowCount="1" headerRowDxfId="196">
  <autoFilter ref="A1:CG469"/>
  <sortState ref="A2:CG469">
    <sortCondition ref="B1:B469"/>
  </sortState>
  <tableColumns count="85">
    <tableColumn id="1" name="GEO.id" totalsRowLabel="Total"/>
    <tableColumn id="2" name="GEO.id2"/>
    <tableColumn id="3" name="GEO.display-label"/>
    <tableColumn id="4" name="Total Population" dataDxfId="195" totalsRowDxfId="194"/>
    <tableColumn id="5" name="MOE - Total Population" dataDxfId="193" totalsRowDxfId="192"/>
    <tableColumn id="106" name="Below 138% of FPL" totalsRowFunction="sum" dataDxfId="191" totalsRowDxfId="190"/>
    <tableColumn id="6" name="MOE - Below 138% of FPL" totalsRowFunction="sum" dataDxfId="189" totalsRowDxfId="188"/>
    <tableColumn id="107" name="Below 138% of FPL - Under 19 years" totalsRowFunction="sum" dataDxfId="187" totalsRowDxfId="186"/>
    <tableColumn id="7" name="MOE - Below 138% of FPL - Under 19 years" totalsRowFunction="sum" dataDxfId="185" totalsRowDxfId="184"/>
    <tableColumn id="108" name="Below 138% of FPL - Under 19 years - With health insurance coverage" totalsRowFunction="sum" dataDxfId="183" totalsRowDxfId="182"/>
    <tableColumn id="8" name="MOE - Below 138% of FPL - Under 19 years - With health insurance" totalsRowFunction="sum" dataDxfId="181" totalsRowDxfId="180"/>
    <tableColumn id="109" name="Below 138% of FPL - Under 19 years - No Health Insurance" totalsRowFunction="sum" dataDxfId="179" totalsRowDxfId="178"/>
    <tableColumn id="9" name="MOE - Below 138% of FPL - Under 19 year - No Health Insurance" totalsRowFunction="sum" dataDxfId="177" totalsRowDxfId="176"/>
    <tableColumn id="110" name="Below 138% of FPL - 19 to 64 years" totalsRowFunction="sum" dataDxfId="175" totalsRowDxfId="174"/>
    <tableColumn id="10" name="MOE - Below 138% of FPL - 19 to 64 years" totalsRowFunction="sum" dataDxfId="173" totalsRowDxfId="172"/>
    <tableColumn id="111" name="Below 138% of FPL - 19 to 64 years - With Health Insurance" totalsRowFunction="sum" dataDxfId="171" totalsRowDxfId="170"/>
    <tableColumn id="11" name="MOE - Below 138% of FPL - 19 to 64 years - With Health Insurance" totalsRowFunction="sum" dataDxfId="169" totalsRowDxfId="168"/>
    <tableColumn id="112" name="Below 138% of FPL - 19 to 64 years - No Health Insurance" totalsRowFunction="sum" dataDxfId="167" totalsRowDxfId="166"/>
    <tableColumn id="12" name="MOE - Below 138% of FPL - 19 to 64 years - No Health Insurance" totalsRowFunction="sum" dataDxfId="165" totalsRowDxfId="164"/>
    <tableColumn id="113" name="Below 138% of FPL - 65 years and over" totalsRowFunction="sum" dataDxfId="163" totalsRowDxfId="162"/>
    <tableColumn id="13" name="MOE - Below 138% of FPL - 65 years and over" totalsRowFunction="sum" dataDxfId="161" totalsRowDxfId="160"/>
    <tableColumn id="114" name="Below 138% of FPL - 65 years and over - With Health Insurance" totalsRowFunction="sum" dataDxfId="159" totalsRowDxfId="158"/>
    <tableColumn id="14" name="MOE - Below 138% of FPL - 65 years and over - With Health Insurance" totalsRowFunction="sum" dataDxfId="157" totalsRowDxfId="156"/>
    <tableColumn id="115" name="Below 138% of FPL - 65 years and over - No Health Insurance" totalsRowFunction="sum" dataDxfId="155" totalsRowDxfId="154"/>
    <tableColumn id="15" name="MOE - Below 138% of FPL - 65 years and over - No Health Insurance" totalsRowFunction="sum" dataDxfId="153" totalsRowDxfId="152"/>
    <tableColumn id="46" name="138 to 199% of FPL" totalsRowFunction="sum" dataDxfId="151" totalsRowDxfId="150"/>
    <tableColumn id="16" name="MOE - 138 to 199% of FPL" totalsRowFunction="sum" dataDxfId="149" totalsRowDxfId="148"/>
    <tableColumn id="48" name="138 to 199% of FPL - Under 19 years:" totalsRowFunction="sum" dataDxfId="147" totalsRowDxfId="146"/>
    <tableColumn id="17" name="MOE - 138 to 199% of FPL - Under 19 years:" totalsRowFunction="sum" dataDxfId="145" totalsRowDxfId="144"/>
    <tableColumn id="50" name="138 to 199% of FPL - Under 19 years - With health insurance" totalsRowFunction="sum" dataDxfId="143" totalsRowDxfId="142"/>
    <tableColumn id="18" name="MOE - 138 to 199% of FPL - Under 19 years - With health insurance" totalsRowFunction="sum" dataDxfId="141" totalsRowDxfId="140"/>
    <tableColumn id="52" name="138 to 199% of FPL - Under 19 years - No health insurance coverage" totalsRowFunction="sum" dataDxfId="139" totalsRowDxfId="138"/>
    <tableColumn id="19" name="MOE - 138 to 199% of FPL - Under 19 years - No health insurance coverage" totalsRowFunction="sum" dataDxfId="137" totalsRowDxfId="136"/>
    <tableColumn id="54" name="138 to 199% of FPL- 19 to 64 years" totalsRowFunction="sum" dataDxfId="135" totalsRowDxfId="134"/>
    <tableColumn id="20" name="MOE - 138 to 199% of FPL- 19 to 64 years" totalsRowFunction="sum" dataDxfId="133" totalsRowDxfId="132"/>
    <tableColumn id="56" name="138 to 199% of FPL - 19 to 64 years - With health insurance" totalsRowFunction="sum" dataDxfId="131" totalsRowDxfId="130"/>
    <tableColumn id="21" name="MOE - 138 to 199% of FPL - 19 to 64 years - With health insurance" totalsRowFunction="sum" dataDxfId="129" totalsRowDxfId="128"/>
    <tableColumn id="58" name="138 to 199% of FPL - 19 to 64 years - No health insurance" totalsRowFunction="sum" dataDxfId="127" totalsRowDxfId="126"/>
    <tableColumn id="22" name="MOE - 138 to 199% of FPL - 19 to 64 years - No health insurance" totalsRowFunction="sum" dataDxfId="125" totalsRowDxfId="124"/>
    <tableColumn id="60" name="138 to 199% of FPL - 65 years and over" totalsRowFunction="sum" dataDxfId="123" totalsRowDxfId="122"/>
    <tableColumn id="23" name="MOE - 138 to 199% of FPL - 65 years and over" totalsRowFunction="sum" dataDxfId="121" totalsRowDxfId="120"/>
    <tableColumn id="62" name="138 to 199% of FPL - 65 years and over - With health insurance" totalsRowFunction="sum" dataDxfId="119" totalsRowDxfId="118"/>
    <tableColumn id="24" name="MOE - 138 to 199% of FPL - 65 years and over - With health insurance" totalsRowFunction="sum" dataDxfId="117" totalsRowDxfId="116"/>
    <tableColumn id="64" name="138 to 199% of FPL - 65 years and over - No health insurance" totalsRowFunction="sum" dataDxfId="115" totalsRowDxfId="114"/>
    <tableColumn id="25" name="MOE - 138 to 199% of FPL - 65 years and over - No health insurance" totalsRowFunction="sum" dataDxfId="113" totalsRowDxfId="112"/>
    <tableColumn id="66" name="200 to 399% of FPL" totalsRowFunction="sum" dataDxfId="111" totalsRowDxfId="110"/>
    <tableColumn id="26" name="MOE - 200 to 399% of FPL" totalsRowFunction="sum" dataDxfId="109" totalsRowDxfId="108"/>
    <tableColumn id="68" name="200 to 399% of FPL - Under 19 years" totalsRowFunction="sum" dataDxfId="107" totalsRowDxfId="106"/>
    <tableColumn id="27" name="MOE - 200 to 399% of FPL - Under 19 years" totalsRowFunction="sum" dataDxfId="105" totalsRowDxfId="104"/>
    <tableColumn id="70" name="200 to 399% of FPL - Under 19 years - With health insurance" totalsRowFunction="sum" dataDxfId="103" totalsRowDxfId="102"/>
    <tableColumn id="28" name="MOE - 200 to 399% of FPL - Under 19 years - With health insurance" totalsRowFunction="sum" dataDxfId="101" totalsRowDxfId="100"/>
    <tableColumn id="72" name="200 to 399% of FPL - Under 19 years - No health insurance" totalsRowFunction="sum" dataDxfId="99" totalsRowDxfId="98"/>
    <tableColumn id="29" name="MOE - 200 to 399% of FPL - Under 19 years - No health insurance" totalsRowFunction="sum" dataDxfId="97" totalsRowDxfId="96"/>
    <tableColumn id="74" name="200 to 399% of FPL - 19 to 64 years" totalsRowFunction="sum" dataDxfId="95" totalsRowDxfId="94"/>
    <tableColumn id="30" name="MOE - 200 to 399% of FPL - 19 to 64 years" totalsRowFunction="sum" dataDxfId="93" totalsRowDxfId="92"/>
    <tableColumn id="76" name="200 to 399% of FPL - 19 to 64 years - With health insurance" totalsRowFunction="sum" dataDxfId="91" totalsRowDxfId="90"/>
    <tableColumn id="31" name="MOE - 200 to 399% of FPL - 19 to 64 years - With health insurance" totalsRowFunction="sum" dataDxfId="89" totalsRowDxfId="88"/>
    <tableColumn id="78" name="200 to 399% of FPL - 19 to 64 years - No health insurance" totalsRowFunction="sum" dataDxfId="87" totalsRowDxfId="86"/>
    <tableColumn id="32" name="MOE - 200 to 399% of FPL - 19 to 64 years - No health insurance" totalsRowFunction="sum" dataDxfId="85" totalsRowDxfId="84"/>
    <tableColumn id="80" name="200 to 399% of FPL - 65 years and over" totalsRowFunction="sum" dataDxfId="83" totalsRowDxfId="82"/>
    <tableColumn id="33" name="MOE - 200 to 399% of FPL - 65 years and over" totalsRowFunction="sum" dataDxfId="81" totalsRowDxfId="80"/>
    <tableColumn id="82" name="200 to 399% of FPL - 65 years and over - With health insurance" totalsRowFunction="sum" dataDxfId="79" totalsRowDxfId="78"/>
    <tableColumn id="34" name="MOE - 200 to 399% of FPL - 65 years and over - With health insurance" totalsRowFunction="sum" dataDxfId="77" totalsRowDxfId="76"/>
    <tableColumn id="84" name="200 to 399% of FPL - 65 years and over - No health insurance" totalsRowFunction="sum" dataDxfId="75" totalsRowDxfId="74"/>
    <tableColumn id="35" name="MOE - 200 to 399% of FPL - 65 years and over - No health insurance" totalsRowFunction="sum" dataDxfId="73" totalsRowDxfId="72"/>
    <tableColumn id="86" name="400% FPL and over" totalsRowFunction="sum" dataDxfId="71" totalsRowDxfId="70"/>
    <tableColumn id="36" name="MOE - 400% FPL and over" totalsRowFunction="sum" dataDxfId="69" totalsRowDxfId="68"/>
    <tableColumn id="88" name="400% FPL and over - Under 19 years" totalsRowFunction="sum" dataDxfId="67" totalsRowDxfId="66"/>
    <tableColumn id="37" name="MOE - 400% FPL and over - Under 19 years" totalsRowFunction="sum" dataDxfId="65" totalsRowDxfId="64"/>
    <tableColumn id="90" name="400% FPL and over - Under 19 years - With health insurance" totalsRowFunction="sum" dataDxfId="63" totalsRowDxfId="62"/>
    <tableColumn id="92" name="MOE - 400% FPL and over - Under 19 years - With health insurance" totalsRowFunction="sum" dataDxfId="61" totalsRowDxfId="60"/>
    <tableColumn id="38" name="400% FPL and over - Under 19 years - No health insurance" totalsRowFunction="sum" dataDxfId="59" totalsRowDxfId="58"/>
    <tableColumn id="45" name="MOE - 400% FPL and over - Under 19 years - No health insurance" totalsRowFunction="sum" dataDxfId="57" totalsRowDxfId="56"/>
    <tableColumn id="94" name="400% FPL and over - 19 to 64 years" totalsRowFunction="sum" dataDxfId="55" totalsRowDxfId="54"/>
    <tableColumn id="39" name="MOE - 400% FPL and over - 19 to 64 years" totalsRowFunction="sum" dataDxfId="53" totalsRowDxfId="52"/>
    <tableColumn id="96" name="400% FPL and over - 19 to 64 years - With health insurance" totalsRowFunction="sum" dataDxfId="51" totalsRowDxfId="50"/>
    <tableColumn id="40" name="MOE - 400% FPL and over - 19 to 64 years - With health insurance" totalsRowFunction="sum" dataDxfId="49" totalsRowDxfId="48"/>
    <tableColumn id="98" name="400% FPL and over - 19 to 64 years - No health insurance" totalsRowFunction="sum" dataDxfId="47" totalsRowDxfId="46"/>
    <tableColumn id="41" name="MOE - 400% FPL and over - 19 to 64 years - No health insurance" totalsRowFunction="sum" dataDxfId="45" totalsRowDxfId="44"/>
    <tableColumn id="100" name="400% FPL and over - 65 years and over" totalsRowFunction="sum" dataDxfId="43" totalsRowDxfId="42"/>
    <tableColumn id="42" name="MOE - 400% FPL and over - 65 years and over" totalsRowFunction="sum" dataDxfId="41" totalsRowDxfId="40"/>
    <tableColumn id="102" name="400% FPL and over - 65 years and over - With health insurance" totalsRowFunction="sum" dataDxfId="39" totalsRowDxfId="38"/>
    <tableColumn id="44" name="MOE - 400% FPL and over - 65 years and over - With health insurance" totalsRowFunction="sum" dataDxfId="37" totalsRowDxfId="36"/>
    <tableColumn id="104" name="400% FPL and over - 65 years and over - No health insurance" totalsRowFunction="sum" dataDxfId="35" totalsRowDxfId="34"/>
    <tableColumn id="43" name="MOE - 400% FPL and over - 65 years and over - No health insurance" totalsRowFunction="sum" dataDxfId="33" totalsRowDxfId="32"/>
  </tableColumns>
  <tableStyleInfo name="TableStyleMedium2" showFirstColumn="0" showLastColumn="0" showRowStripes="1" showColumnStripes="1"/>
</table>
</file>

<file path=xl/tables/table11.xml><?xml version="1.0" encoding="utf-8"?>
<table xmlns="http://schemas.openxmlformats.org/spreadsheetml/2006/main" id="14" name="RemovedLT50UninsTbl" displayName="RemovedLT50UninsTbl" ref="A1:O129" totalsRowCount="1">
  <autoFilter ref="A1:O128"/>
  <tableColumns count="15">
    <tableColumn id="1" name="ZIP code" totalsRowLabel="Total"/>
    <tableColumn id="2" name="City"/>
    <tableColumn id="3" name="County"/>
    <tableColumn id="4" name="Total Population"/>
    <tableColumn id="5" name="Total Uninsured Population" totalsRowFunction="sum"/>
    <tableColumn id="6" name="Adjusted Total Uninsured"/>
    <tableColumn id="7" name="Alternate Adj Total Uninsured"/>
    <tableColumn id="8" name="Below 138% of FPL"/>
    <tableColumn id="9" name="Below 138% of FPL - No Health Insurance"/>
    <tableColumn id="10" name="138 to 199% of FPL"/>
    <tableColumn id="11" name="138% to 199% - No Health Insurance"/>
    <tableColumn id="12" name="200 to 399% of FPL"/>
    <tableColumn id="13" name="200 to 399% of FPL - No Health Insurance"/>
    <tableColumn id="14" name="400% FPL and over"/>
    <tableColumn id="15" name="400% FPL and over - No Health Insurance" totalsRowFunction="sum"/>
  </tableColumns>
  <tableStyleInfo name="TableStyleMedium2" showFirstColumn="0" showLastColumn="0" showRowStripes="1" showColumnStripes="0"/>
</table>
</file>

<file path=xl/tables/table12.xml><?xml version="1.0" encoding="utf-8"?>
<table xmlns="http://schemas.openxmlformats.org/spreadsheetml/2006/main" id="15" name="RemovedGT30RSEUninsTbl" displayName="RemovedGT30RSEUninsTbl" ref="R1:AG118" totalsRowCount="1">
  <autoFilter ref="R1:AG117"/>
  <tableColumns count="16">
    <tableColumn id="1" name="ZIP code" totalsRowLabel="Total"/>
    <tableColumn id="2" name="City"/>
    <tableColumn id="3" name="County"/>
    <tableColumn id="4" name="Total Population"/>
    <tableColumn id="5" name="Total Uninsured Population" totalsRowFunction="sum"/>
    <tableColumn id="6" name="Relative Standard Error - Total Uninsured"/>
    <tableColumn id="7" name="Adjusted Total Uninsured"/>
    <tableColumn id="8" name="Alternate Adj Total Uninsured"/>
    <tableColumn id="9" name="Below 138% of FPL"/>
    <tableColumn id="10" name="Below 138% of FPL - No Health Insurance"/>
    <tableColumn id="11" name="138 to 199% of FPL"/>
    <tableColumn id="12" name="138% to 199% - No Health Insurance"/>
    <tableColumn id="13" name="200 to 399% of FPL"/>
    <tableColumn id="14" name="200 to 399% of FPL - No Health Insurance"/>
    <tableColumn id="15" name="400% FPL and over"/>
    <tableColumn id="16" name="400% FPL and over - No Health Insurance" totalsRowFunction="sum"/>
  </tableColumns>
  <tableStyleInfo name="TableStyleMedium2" showFirstColumn="0" showLastColumn="0" showRowStripes="1" showColumnStripes="0"/>
</table>
</file>

<file path=xl/tables/table13.xml><?xml version="1.0" encoding="utf-8"?>
<table xmlns="http://schemas.openxmlformats.org/spreadsheetml/2006/main" id="12" name="RemovedHighRSEmostNeedTbl" displayName="RemovedHighRSEmostNeedTbl" ref="A1:O193" totalsRowCount="1" headerRowDxfId="31">
  <autoFilter ref="A1:O192"/>
  <tableColumns count="15">
    <tableColumn id="1" name="ZIP Code" totalsRowLabel="Total"/>
    <tableColumn id="2" name="City"/>
    <tableColumn id="3" name="County"/>
    <tableColumn id="4" name="Below 138% of FPL - Uninsured"/>
    <tableColumn id="5" name="MOE - Below 138% of FPL - Uninsured"/>
    <tableColumn id="7" name="138 to 199% of FPL - Uninsured"/>
    <tableColumn id="8" name="MOE - 139 to 199% of FPL - Uninsured"/>
    <tableColumn id="9" name="200 to 399% of FPL - Uninsured"/>
    <tableColumn id="10" name="MOE - 201 to 399% of FPL - Uninsured"/>
    <tableColumn id="11" name="400% FPL and over - Uninsured"/>
    <tableColumn id="12" name="MOE - 400% FPL and over - Uninsured"/>
    <tableColumn id="13" name="Total" totalsRowFunction="sum"/>
    <tableColumn id="14" name="RSE - Total" dataDxfId="30"/>
    <tableColumn id="15" name="Adjusted Total" totalsRowFunction="sum"/>
    <tableColumn id="16" name="Alternate Adj. Total" totalsRowFunction="sum"/>
  </tableColumns>
  <tableStyleInfo name="TableStyleMedium2" showFirstColumn="0" showLastColumn="0" showRowStripes="1" showColumnStripes="0"/>
</table>
</file>

<file path=xl/tables/table14.xml><?xml version="1.0" encoding="utf-8"?>
<table xmlns="http://schemas.openxmlformats.org/spreadsheetml/2006/main" id="13" name="RemovedLT50UninsMostNeedTbl" displayName="RemovedLT50UninsMostNeedTbl" ref="R1:AF55" totalsRowShown="0" headerRowDxfId="29">
  <autoFilter ref="R1:AF55"/>
  <tableColumns count="15">
    <tableColumn id="1" name="ZIP Code"/>
    <tableColumn id="2" name="City"/>
    <tableColumn id="3" name="County"/>
    <tableColumn id="4" name="Below 138% of FPL - Uninsured"/>
    <tableColumn id="5" name="MOE - Below 138% of FPL - Uninsured"/>
    <tableColumn id="7" name="138 to 199% of FPL - Uninsured"/>
    <tableColumn id="8" name="MOE - 139 to 199% of FPL - Uninsured"/>
    <tableColumn id="9" name="200 to 399% of FPL - Uninsured"/>
    <tableColumn id="10" name="MOE - 201 to 399% of FPL - Uninsured"/>
    <tableColumn id="11" name="400% FPL and over - Uninsured"/>
    <tableColumn id="12" name="MOE - 400% FPL and over - Uninsured"/>
    <tableColumn id="13" name="Total"/>
    <tableColumn id="14" name="RSE - Total"/>
    <tableColumn id="15" name="Adjusted Total"/>
    <tableColumn id="16" name="Alternate Adj. Total"/>
  </tableColumns>
  <tableStyleInfo name="TableStyleMedium2" showFirstColumn="0" showLastColumn="0" showRowStripes="1" showColumnStripes="0"/>
</table>
</file>

<file path=xl/tables/table15.xml><?xml version="1.0" encoding="utf-8"?>
<table xmlns="http://schemas.openxmlformats.org/spreadsheetml/2006/main" id="2" name="ZipToCntyTbl" displayName="ZipToCntyTbl" ref="A1:C469" totalsRowShown="0" tableBorderDxfId="28">
  <autoFilter ref="A1:C469"/>
  <tableColumns count="3">
    <tableColumn id="1" name="Zip Code" dataDxfId="27"/>
    <tableColumn id="2" name="City" dataDxfId="26"/>
    <tableColumn id="3" name="County" dataDxfId="25"/>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_rels/sheet5.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1" Type="http://schemas.openxmlformats.org/officeDocument/2006/relationships/table" Target="../tables/table4.xml"/></Relationships>
</file>

<file path=xl/worksheets/_rels/sheet7.xml.rels><?xml version="1.0" encoding="UTF-8" standalone="yes"?>
<Relationships xmlns="http://schemas.openxmlformats.org/package/2006/relationships"><Relationship Id="rId2" Type="http://schemas.openxmlformats.org/officeDocument/2006/relationships/pivotTable" Target="../pivotTables/pivotTable2.xml"/><Relationship Id="rId1" Type="http://schemas.openxmlformats.org/officeDocument/2006/relationships/pivotTable" Target="../pivotTables/pivotTable1.xml"/></Relationships>
</file>

<file path=xl/worksheets/_rels/sheet8.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table" Target="../tables/table6.xml"/><Relationship Id="rId1" Type="http://schemas.openxmlformats.org/officeDocument/2006/relationships/table" Target="../tables/table5.xml"/></Relationships>
</file>

<file path=xl/worksheets/_rels/sheet9.xml.rels><?xml version="1.0" encoding="UTF-8" standalone="yes"?>
<Relationships xmlns="http://schemas.openxmlformats.org/package/2006/relationships"><Relationship Id="rId2" Type="http://schemas.openxmlformats.org/officeDocument/2006/relationships/table" Target="../tables/table9.xml"/><Relationship Id="rId1" Type="http://schemas.openxmlformats.org/officeDocument/2006/relationships/table" Target="../tables/table8.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1.xml.rels><?xml version="1.0" encoding="UTF-8" standalone="yes"?>
<Relationships xmlns="http://schemas.openxmlformats.org/package/2006/relationships"><Relationship Id="rId2" Type="http://schemas.openxmlformats.org/officeDocument/2006/relationships/table" Target="../tables/table12.xml"/><Relationship Id="rId1" Type="http://schemas.openxmlformats.org/officeDocument/2006/relationships/table" Target="../tables/table11.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table" Target="../tables/table13.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4"/>
  <sheetViews>
    <sheetView tabSelected="1" zoomScale="120" zoomScaleNormal="120" workbookViewId="0">
      <selection activeCell="D4" sqref="D4:O10"/>
    </sheetView>
  </sheetViews>
  <sheetFormatPr defaultColWidth="0" defaultRowHeight="14.4" customHeight="1" zeroHeight="1" x14ac:dyDescent="0.3"/>
  <cols>
    <col min="1" max="1" width="8.88671875" style="47" customWidth="1"/>
    <col min="2" max="18" width="8.88671875" style="48" customWidth="1"/>
    <col min="19" max="19" width="8.88671875" style="49" customWidth="1"/>
    <col min="20" max="16384" width="8.88671875" hidden="1"/>
  </cols>
  <sheetData>
    <row r="1" spans="1:19" x14ac:dyDescent="0.3">
      <c r="A1" s="44"/>
      <c r="B1" s="45"/>
      <c r="C1" s="45"/>
      <c r="D1" s="45"/>
      <c r="E1" s="45"/>
      <c r="F1" s="45"/>
      <c r="G1" s="45"/>
      <c r="H1" s="45"/>
      <c r="I1" s="45"/>
      <c r="J1" s="45"/>
      <c r="K1" s="45"/>
      <c r="L1" s="45"/>
      <c r="M1" s="45"/>
      <c r="N1" s="45"/>
      <c r="O1" s="45"/>
      <c r="P1" s="45"/>
      <c r="Q1" s="45"/>
      <c r="R1" s="45"/>
      <c r="S1" s="46"/>
    </row>
    <row r="2" spans="1:19" x14ac:dyDescent="0.3"/>
    <row r="3" spans="1:19" ht="15" thickBot="1" x14ac:dyDescent="0.35">
      <c r="D3" s="50"/>
      <c r="E3" s="50"/>
      <c r="F3" s="50"/>
      <c r="G3" s="50"/>
      <c r="H3" s="50"/>
      <c r="I3" s="50"/>
      <c r="J3" s="50"/>
      <c r="K3" s="50"/>
      <c r="L3" s="50"/>
      <c r="M3" s="50"/>
      <c r="N3" s="50"/>
      <c r="O3" s="50"/>
    </row>
    <row r="4" spans="1:19" ht="40.200000000000003" customHeight="1" x14ac:dyDescent="0.3">
      <c r="C4" s="51"/>
      <c r="D4" s="109" t="s">
        <v>1491</v>
      </c>
      <c r="E4" s="110"/>
      <c r="F4" s="110"/>
      <c r="G4" s="110"/>
      <c r="H4" s="110"/>
      <c r="I4" s="110"/>
      <c r="J4" s="110"/>
      <c r="K4" s="110"/>
      <c r="L4" s="110"/>
      <c r="M4" s="110"/>
      <c r="N4" s="110"/>
      <c r="O4" s="111"/>
      <c r="P4" s="52"/>
    </row>
    <row r="5" spans="1:19" ht="14.4" customHeight="1" x14ac:dyDescent="0.3">
      <c r="C5" s="51"/>
      <c r="D5" s="112"/>
      <c r="E5" s="113"/>
      <c r="F5" s="113"/>
      <c r="G5" s="113"/>
      <c r="H5" s="113"/>
      <c r="I5" s="113"/>
      <c r="J5" s="113"/>
      <c r="K5" s="113"/>
      <c r="L5" s="113"/>
      <c r="M5" s="113"/>
      <c r="N5" s="113"/>
      <c r="O5" s="114"/>
      <c r="P5" s="52"/>
    </row>
    <row r="6" spans="1:19" ht="14.4" customHeight="1" x14ac:dyDescent="0.3">
      <c r="C6" s="51"/>
      <c r="D6" s="112"/>
      <c r="E6" s="113"/>
      <c r="F6" s="113"/>
      <c r="G6" s="113"/>
      <c r="H6" s="113"/>
      <c r="I6" s="113"/>
      <c r="J6" s="113"/>
      <c r="K6" s="113"/>
      <c r="L6" s="113"/>
      <c r="M6" s="113"/>
      <c r="N6" s="113"/>
      <c r="O6" s="114"/>
      <c r="P6" s="52"/>
    </row>
    <row r="7" spans="1:19" ht="14.4" customHeight="1" x14ac:dyDescent="0.3">
      <c r="C7" s="51"/>
      <c r="D7" s="112"/>
      <c r="E7" s="113"/>
      <c r="F7" s="113"/>
      <c r="G7" s="113"/>
      <c r="H7" s="113"/>
      <c r="I7" s="113"/>
      <c r="J7" s="113"/>
      <c r="K7" s="113"/>
      <c r="L7" s="113"/>
      <c r="M7" s="113"/>
      <c r="N7" s="113"/>
      <c r="O7" s="114"/>
      <c r="P7" s="52"/>
    </row>
    <row r="8" spans="1:19" ht="14.4" customHeight="1" x14ac:dyDescent="0.3">
      <c r="C8" s="51"/>
      <c r="D8" s="112"/>
      <c r="E8" s="113"/>
      <c r="F8" s="113"/>
      <c r="G8" s="113"/>
      <c r="H8" s="113"/>
      <c r="I8" s="113"/>
      <c r="J8" s="113"/>
      <c r="K8" s="113"/>
      <c r="L8" s="113"/>
      <c r="M8" s="113"/>
      <c r="N8" s="113"/>
      <c r="O8" s="114"/>
      <c r="P8" s="52"/>
    </row>
    <row r="9" spans="1:19" ht="14.4" customHeight="1" x14ac:dyDescent="0.3">
      <c r="C9" s="51"/>
      <c r="D9" s="112"/>
      <c r="E9" s="113"/>
      <c r="F9" s="113"/>
      <c r="G9" s="113"/>
      <c r="H9" s="113"/>
      <c r="I9" s="113"/>
      <c r="J9" s="113"/>
      <c r="K9" s="113"/>
      <c r="L9" s="113"/>
      <c r="M9" s="113"/>
      <c r="N9" s="113"/>
      <c r="O9" s="114"/>
      <c r="P9" s="52"/>
    </row>
    <row r="10" spans="1:19" ht="14.4" customHeight="1" thickBot="1" x14ac:dyDescent="0.35">
      <c r="C10" s="51"/>
      <c r="D10" s="115"/>
      <c r="E10" s="116"/>
      <c r="F10" s="116"/>
      <c r="G10" s="116"/>
      <c r="H10" s="116"/>
      <c r="I10" s="116"/>
      <c r="J10" s="116"/>
      <c r="K10" s="116"/>
      <c r="L10" s="116"/>
      <c r="M10" s="116"/>
      <c r="N10" s="116"/>
      <c r="O10" s="117"/>
      <c r="P10" s="52"/>
    </row>
    <row r="11" spans="1:19" ht="45.6" customHeight="1" x14ac:dyDescent="0.3">
      <c r="D11" s="118" t="s">
        <v>1480</v>
      </c>
      <c r="E11" s="119"/>
      <c r="F11" s="119"/>
      <c r="G11" s="120" t="s">
        <v>1481</v>
      </c>
      <c r="H11" s="120"/>
      <c r="I11" s="120"/>
      <c r="J11" s="120"/>
      <c r="K11" s="120"/>
      <c r="L11" s="120"/>
      <c r="M11" s="120"/>
      <c r="N11" s="120"/>
      <c r="O11" s="53"/>
    </row>
    <row r="12" spans="1:19" ht="44.4" customHeight="1" x14ac:dyDescent="0.3">
      <c r="C12" s="51"/>
      <c r="D12" s="118" t="s">
        <v>1492</v>
      </c>
      <c r="E12" s="119"/>
      <c r="F12" s="119"/>
      <c r="G12" s="120" t="s">
        <v>1505</v>
      </c>
      <c r="H12" s="120"/>
      <c r="I12" s="120"/>
      <c r="J12" s="120"/>
      <c r="K12" s="120"/>
      <c r="L12" s="120"/>
      <c r="M12" s="120"/>
      <c r="N12" s="120"/>
      <c r="O12" s="53"/>
      <c r="P12" s="52"/>
    </row>
    <row r="13" spans="1:19" ht="45.6" customHeight="1" x14ac:dyDescent="0.3">
      <c r="D13" s="107" t="s">
        <v>1482</v>
      </c>
      <c r="E13" s="108"/>
      <c r="F13" s="108"/>
      <c r="G13" s="121" t="s">
        <v>1483</v>
      </c>
      <c r="H13" s="121"/>
      <c r="I13" s="121"/>
      <c r="J13" s="121"/>
      <c r="K13" s="121"/>
      <c r="L13" s="121"/>
      <c r="M13" s="121"/>
      <c r="N13" s="121"/>
      <c r="O13" s="54"/>
    </row>
    <row r="14" spans="1:19" ht="45.6" customHeight="1" x14ac:dyDescent="0.3">
      <c r="D14" s="107" t="s">
        <v>1484</v>
      </c>
      <c r="E14" s="108"/>
      <c r="F14" s="108"/>
      <c r="G14" s="121" t="s">
        <v>1509</v>
      </c>
      <c r="H14" s="121"/>
      <c r="I14" s="121"/>
      <c r="J14" s="121"/>
      <c r="K14" s="121"/>
      <c r="L14" s="121"/>
      <c r="M14" s="121"/>
      <c r="N14" s="121"/>
      <c r="O14" s="54"/>
    </row>
    <row r="15" spans="1:19" ht="45.6" customHeight="1" x14ac:dyDescent="0.3">
      <c r="D15" s="107" t="s">
        <v>1485</v>
      </c>
      <c r="E15" s="108"/>
      <c r="F15" s="108"/>
      <c r="G15" s="121" t="s">
        <v>1486</v>
      </c>
      <c r="H15" s="121"/>
      <c r="I15" s="121"/>
      <c r="J15" s="121"/>
      <c r="K15" s="121"/>
      <c r="L15" s="121"/>
      <c r="M15" s="121"/>
      <c r="N15" s="121"/>
      <c r="O15" s="54"/>
    </row>
    <row r="16" spans="1:19" ht="45.6" customHeight="1" x14ac:dyDescent="0.3">
      <c r="D16" s="107" t="s">
        <v>1487</v>
      </c>
      <c r="E16" s="108"/>
      <c r="F16" s="108"/>
      <c r="G16" s="121" t="s">
        <v>1488</v>
      </c>
      <c r="H16" s="121"/>
      <c r="I16" s="121"/>
      <c r="J16" s="121"/>
      <c r="K16" s="121"/>
      <c r="L16" s="121"/>
      <c r="M16" s="121"/>
      <c r="N16" s="121"/>
      <c r="O16" s="54"/>
    </row>
    <row r="17" spans="1:19" ht="45.6" customHeight="1" x14ac:dyDescent="0.3">
      <c r="D17" s="107" t="s">
        <v>1489</v>
      </c>
      <c r="E17" s="108"/>
      <c r="F17" s="108"/>
      <c r="G17" s="121" t="s">
        <v>1490</v>
      </c>
      <c r="H17" s="121"/>
      <c r="I17" s="121"/>
      <c r="J17" s="121"/>
      <c r="K17" s="121"/>
      <c r="L17" s="121"/>
      <c r="M17" s="121"/>
      <c r="N17" s="121"/>
      <c r="O17" s="54"/>
    </row>
    <row r="18" spans="1:19" s="48" customFormat="1" ht="45.6" customHeight="1" x14ac:dyDescent="0.3">
      <c r="A18" s="47"/>
      <c r="D18" s="107"/>
      <c r="E18" s="108"/>
      <c r="F18" s="108"/>
      <c r="G18" s="108"/>
      <c r="H18" s="108"/>
      <c r="I18" s="108"/>
      <c r="J18" s="108"/>
      <c r="K18" s="108"/>
      <c r="L18" s="108"/>
      <c r="M18" s="108"/>
      <c r="N18" s="108"/>
      <c r="O18" s="54"/>
      <c r="S18" s="49"/>
    </row>
    <row r="19" spans="1:19" s="48" customFormat="1" ht="45.6" hidden="1" customHeight="1" x14ac:dyDescent="0.3">
      <c r="A19" s="47"/>
      <c r="D19" s="107"/>
      <c r="E19" s="108"/>
      <c r="F19" s="108"/>
      <c r="G19" s="108"/>
      <c r="H19" s="108"/>
      <c r="I19" s="108"/>
      <c r="J19" s="108"/>
      <c r="K19" s="108"/>
      <c r="L19" s="108"/>
      <c r="M19" s="108"/>
      <c r="N19" s="108"/>
      <c r="O19" s="54"/>
      <c r="S19" s="49"/>
    </row>
    <row r="20" spans="1:19" s="48" customFormat="1" ht="45.6" hidden="1" customHeight="1" x14ac:dyDescent="0.3">
      <c r="A20" s="47"/>
      <c r="D20" s="107"/>
      <c r="E20" s="108"/>
      <c r="F20" s="108"/>
      <c r="G20" s="108"/>
      <c r="H20" s="108"/>
      <c r="I20" s="108"/>
      <c r="J20" s="108"/>
      <c r="K20" s="108"/>
      <c r="L20" s="108"/>
      <c r="M20" s="108"/>
      <c r="N20" s="108"/>
      <c r="O20" s="54"/>
      <c r="S20" s="49"/>
    </row>
    <row r="21" spans="1:19" s="48" customFormat="1" ht="45.6" hidden="1" customHeight="1" x14ac:dyDescent="0.3">
      <c r="A21" s="47"/>
      <c r="D21" s="107"/>
      <c r="E21" s="108"/>
      <c r="F21" s="108"/>
      <c r="G21" s="108"/>
      <c r="H21" s="108"/>
      <c r="I21" s="108"/>
      <c r="J21" s="108"/>
      <c r="K21" s="108"/>
      <c r="L21" s="108"/>
      <c r="M21" s="108"/>
      <c r="N21" s="108"/>
      <c r="O21" s="54"/>
      <c r="S21" s="49"/>
    </row>
    <row r="22" spans="1:19" s="48" customFormat="1" ht="45.6" hidden="1" customHeight="1" x14ac:dyDescent="0.3">
      <c r="A22" s="47"/>
      <c r="D22" s="107"/>
      <c r="E22" s="108"/>
      <c r="F22" s="108"/>
      <c r="G22" s="108"/>
      <c r="H22" s="108"/>
      <c r="I22" s="108"/>
      <c r="J22" s="108"/>
      <c r="K22" s="108"/>
      <c r="L22" s="108"/>
      <c r="M22" s="108"/>
      <c r="N22" s="108"/>
      <c r="O22" s="54"/>
      <c r="S22" s="49"/>
    </row>
    <row r="23" spans="1:19" s="48" customFormat="1" hidden="1" x14ac:dyDescent="0.3">
      <c r="A23" s="47"/>
      <c r="D23" s="122"/>
      <c r="E23" s="123"/>
      <c r="F23" s="123"/>
      <c r="G23" s="123"/>
      <c r="H23" s="123"/>
      <c r="I23" s="123"/>
      <c r="J23" s="123"/>
      <c r="K23" s="123"/>
      <c r="L23" s="123"/>
      <c r="M23" s="123"/>
      <c r="N23" s="123"/>
      <c r="O23" s="54"/>
      <c r="S23" s="49"/>
    </row>
    <row r="24" spans="1:19" s="48" customFormat="1" hidden="1" x14ac:dyDescent="0.3">
      <c r="A24" s="47"/>
      <c r="D24" s="122"/>
      <c r="E24" s="123"/>
      <c r="F24" s="123"/>
      <c r="G24" s="123"/>
      <c r="H24" s="123"/>
      <c r="I24" s="123"/>
      <c r="J24" s="123"/>
      <c r="K24" s="123"/>
      <c r="L24" s="123"/>
      <c r="M24" s="123"/>
      <c r="N24" s="123"/>
      <c r="O24" s="54"/>
      <c r="S24" s="49"/>
    </row>
    <row r="25" spans="1:19" s="48" customFormat="1" hidden="1" x14ac:dyDescent="0.3">
      <c r="A25" s="47"/>
      <c r="D25" s="122"/>
      <c r="E25" s="123"/>
      <c r="F25" s="123"/>
      <c r="G25" s="123"/>
      <c r="H25" s="123"/>
      <c r="I25" s="123"/>
      <c r="J25" s="123"/>
      <c r="K25" s="123"/>
      <c r="L25" s="123"/>
      <c r="M25" s="123"/>
      <c r="N25" s="123"/>
      <c r="O25" s="54"/>
      <c r="S25" s="49"/>
    </row>
    <row r="26" spans="1:19" s="48" customFormat="1" hidden="1" x14ac:dyDescent="0.3">
      <c r="A26" s="47"/>
      <c r="E26" s="122"/>
      <c r="F26" s="123"/>
      <c r="G26" s="123"/>
      <c r="H26" s="123"/>
      <c r="I26" s="123"/>
      <c r="J26" s="123"/>
      <c r="K26" s="123"/>
      <c r="L26" s="123"/>
      <c r="M26" s="123"/>
      <c r="N26" s="123"/>
      <c r="O26" s="124"/>
      <c r="S26" s="49"/>
    </row>
    <row r="27" spans="1:19" s="48" customFormat="1" hidden="1" x14ac:dyDescent="0.3">
      <c r="A27" s="47"/>
      <c r="S27" s="49"/>
    </row>
    <row r="28" spans="1:19" s="48" customFormat="1" hidden="1" x14ac:dyDescent="0.3">
      <c r="A28" s="47"/>
      <c r="S28" s="49"/>
    </row>
    <row r="29" spans="1:19" s="48" customFormat="1" hidden="1" x14ac:dyDescent="0.3">
      <c r="A29" s="47"/>
      <c r="S29" s="49"/>
    </row>
    <row r="30" spans="1:19" s="48" customFormat="1" hidden="1" x14ac:dyDescent="0.3">
      <c r="A30" s="47"/>
      <c r="S30" s="49"/>
    </row>
    <row r="31" spans="1:19" s="48" customFormat="1" hidden="1" x14ac:dyDescent="0.3">
      <c r="A31" s="47"/>
      <c r="S31" s="49"/>
    </row>
    <row r="32" spans="1:19" s="48" customFormat="1" hidden="1" x14ac:dyDescent="0.3">
      <c r="A32" s="47"/>
      <c r="S32" s="49"/>
    </row>
    <row r="33" spans="1:19" s="48" customFormat="1" hidden="1" x14ac:dyDescent="0.3">
      <c r="A33" s="47"/>
      <c r="S33" s="49"/>
    </row>
    <row r="34" spans="1:19" ht="14.4" customHeight="1" x14ac:dyDescent="0.3"/>
  </sheetData>
  <mergeCells count="32">
    <mergeCell ref="E26:O26"/>
    <mergeCell ref="D14:F14"/>
    <mergeCell ref="G14:N14"/>
    <mergeCell ref="D24:F24"/>
    <mergeCell ref="G24:N24"/>
    <mergeCell ref="D25:F25"/>
    <mergeCell ref="G25:N25"/>
    <mergeCell ref="D15:F15"/>
    <mergeCell ref="G15:N15"/>
    <mergeCell ref="D16:F16"/>
    <mergeCell ref="G16:N16"/>
    <mergeCell ref="D17:F17"/>
    <mergeCell ref="G17:N17"/>
    <mergeCell ref="D23:F23"/>
    <mergeCell ref="G23:N23"/>
    <mergeCell ref="D18:F18"/>
    <mergeCell ref="D21:F21"/>
    <mergeCell ref="G21:N21"/>
    <mergeCell ref="D22:F22"/>
    <mergeCell ref="G22:N22"/>
    <mergeCell ref="D4:O10"/>
    <mergeCell ref="D11:F11"/>
    <mergeCell ref="G11:N11"/>
    <mergeCell ref="D13:F13"/>
    <mergeCell ref="G13:N13"/>
    <mergeCell ref="D12:F12"/>
    <mergeCell ref="G12:N12"/>
    <mergeCell ref="G18:N18"/>
    <mergeCell ref="D19:F19"/>
    <mergeCell ref="G19:N19"/>
    <mergeCell ref="D20:F20"/>
    <mergeCell ref="G20:N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4"/>
  <sheetViews>
    <sheetView workbookViewId="0">
      <selection activeCell="H2" sqref="H2:H224"/>
    </sheetView>
  </sheetViews>
  <sheetFormatPr defaultRowHeight="14.4" x14ac:dyDescent="0.3"/>
  <cols>
    <col min="3" max="3" width="14.5546875" bestFit="1" customWidth="1"/>
    <col min="4" max="4" width="14" bestFit="1" customWidth="1"/>
    <col min="5" max="5" width="16.77734375" style="73" bestFit="1" customWidth="1"/>
    <col min="6" max="6" width="31.88671875" bestFit="1" customWidth="1"/>
    <col min="7" max="7" width="12" bestFit="1" customWidth="1"/>
    <col min="8" max="8" width="41.44140625" style="73" bestFit="1" customWidth="1"/>
    <col min="9" max="9" width="29.77734375" bestFit="1" customWidth="1"/>
    <col min="10" max="10" width="12" bestFit="1" customWidth="1"/>
    <col min="11" max="11" width="41.44140625" style="73" bestFit="1" customWidth="1"/>
    <col min="12" max="12" width="25" bestFit="1" customWidth="1"/>
    <col min="13" max="13" width="14.6640625" bestFit="1" customWidth="1"/>
    <col min="14" max="14" width="41.44140625" style="73" bestFit="1" customWidth="1"/>
  </cols>
  <sheetData>
    <row r="1" spans="1:14" s="85" customFormat="1" ht="34.799999999999997" customHeight="1" x14ac:dyDescent="0.3">
      <c r="A1" s="85" t="s">
        <v>978</v>
      </c>
      <c r="B1" s="85" t="s">
        <v>987</v>
      </c>
      <c r="C1" s="85" t="s">
        <v>939</v>
      </c>
      <c r="D1" s="85" t="s">
        <v>1521</v>
      </c>
      <c r="E1" s="130" t="s">
        <v>1522</v>
      </c>
      <c r="F1" s="85" t="s">
        <v>1523</v>
      </c>
      <c r="G1" s="85" t="s">
        <v>1524</v>
      </c>
      <c r="H1" s="130" t="s">
        <v>1525</v>
      </c>
      <c r="I1" s="85" t="s">
        <v>1528</v>
      </c>
      <c r="J1" s="85" t="s">
        <v>1526</v>
      </c>
      <c r="K1" s="130" t="s">
        <v>1527</v>
      </c>
      <c r="L1" s="85" t="s">
        <v>1529</v>
      </c>
      <c r="M1" s="85" t="s">
        <v>1530</v>
      </c>
      <c r="N1" s="130" t="s">
        <v>1531</v>
      </c>
    </row>
    <row r="2" spans="1:14" x14ac:dyDescent="0.3">
      <c r="A2">
        <v>20601</v>
      </c>
      <c r="B2" t="str">
        <f>VLOOKUP(A2,UninsuredTable[],3,0)</f>
        <v>Charles</v>
      </c>
      <c r="C2">
        <f>VLOOKUP(A2,UninsuredTable[],4,0)</f>
        <v>25665</v>
      </c>
      <c r="D2">
        <f>VLOOKUP(A2,UninsuredTable[],5,0)</f>
        <v>1191</v>
      </c>
      <c r="E2" s="73">
        <v>767.0328079780744</v>
      </c>
      <c r="F2">
        <f>SUM(VLOOKUP(A2,BaseTable[[GEO.id2]:[MOE - 400% FPL and over - 65 years and over - No health insurance]],11,0),VLOOKUP(A2,BaseTable[[GEO.id2]:[MOE - 400% FPL and over - 65 years and over - No health insurance]],31,0),VLOOKUP(A2,BaseTable[[GEO.id2]:[MOE - 400% FPL and over - 65 years and over - No health insurance]],51,0))</f>
        <v>117</v>
      </c>
      <c r="G2">
        <f>F2/D2</f>
        <v>9.8236775818639793E-2</v>
      </c>
      <c r="H2" s="73">
        <f>E2*G2</f>
        <v>75.350830002883882</v>
      </c>
      <c r="I2">
        <f>SUM(VLOOKUP(A2,BaseTable[[GEO.id2]:[MOE - 400% FPL and over - 65 years and over - No health insurance]],77,0),VLOOKUP(A2,BaseTable[[GEO.id2]:[MOE - 400% FPL and over - 65 years and over - No health insurance]],71,0))</f>
        <v>485</v>
      </c>
      <c r="J2">
        <f>I2/D2</f>
        <v>0.4072208228379513</v>
      </c>
      <c r="K2" s="73">
        <f>E2*J2</f>
        <v>312.35173120853574</v>
      </c>
      <c r="L2">
        <f>SUM(VLOOKUP(A2,BaseTable[[GEO.id2]:[MOE - 400% FPL and over - 65 years and over - No health insurance]],17,0),VLOOKUP(A2,BaseTable[[GEO.id2]:[MOE - 400% FPL and over - 65 years and over - No health insurance]],57,0),VLOOKUP(A2,BaseTable[[GEO.id2]:[MOE - 400% FPL and over - 65 years and over - No health insurance]],37,0))</f>
        <v>589</v>
      </c>
      <c r="M2">
        <f>L2/D2</f>
        <v>0.49454240134340888</v>
      </c>
      <c r="N2" s="73">
        <f>E2*M2</f>
        <v>379.33024676665474</v>
      </c>
    </row>
    <row r="3" spans="1:14" x14ac:dyDescent="0.3">
      <c r="A3">
        <v>20602</v>
      </c>
      <c r="B3" t="str">
        <f>VLOOKUP(A3,UninsuredTable[],3,0)</f>
        <v>Charles</v>
      </c>
      <c r="C3">
        <f>VLOOKUP(A3,UninsuredTable[],4,0)</f>
        <v>26126</v>
      </c>
      <c r="D3">
        <f>VLOOKUP(A3,UninsuredTable[],5,0)</f>
        <v>798</v>
      </c>
      <c r="E3" s="73">
        <v>798</v>
      </c>
      <c r="F3">
        <f>SUM(VLOOKUP(A3,BaseTable[[GEO.id2]:[MOE - 400% FPL and over - 65 years and over - No health insurance]],11,0),VLOOKUP(A3,BaseTable[[GEO.id2]:[MOE - 400% FPL and over - 65 years and over - No health insurance]],31,0),VLOOKUP(A3,BaseTable[[GEO.id2]:[MOE - 400% FPL and over - 65 years and over - No health insurance]],51,0))</f>
        <v>128</v>
      </c>
      <c r="G3">
        <f t="shared" ref="G3:G66" si="0">F3/D3</f>
        <v>0.16040100250626566</v>
      </c>
      <c r="H3" s="73">
        <f t="shared" ref="H3:H66" si="1">E3*G3</f>
        <v>128</v>
      </c>
      <c r="I3">
        <f>SUM(VLOOKUP(A3,BaseTable[[GEO.id2]:[MOE - 400% FPL and over - 65 years and over - No health insurance]],77,0),VLOOKUP(A3,BaseTable[[GEO.id2]:[MOE - 400% FPL and over - 65 years and over - No health insurance]],71,0))</f>
        <v>145</v>
      </c>
      <c r="J3">
        <f t="shared" ref="J3:J66" si="2">I3/D3</f>
        <v>0.18170426065162906</v>
      </c>
      <c r="K3" s="73">
        <f t="shared" ref="K3:K66" si="3">E3*J3</f>
        <v>145</v>
      </c>
      <c r="L3">
        <f>SUM(VLOOKUP(A3,BaseTable[[GEO.id2]:[MOE - 400% FPL and over - 65 years and over - No health insurance]],17,0),VLOOKUP(A3,BaseTable[[GEO.id2]:[MOE - 400% FPL and over - 65 years and over - No health insurance]],57,0),VLOOKUP(A3,BaseTable[[GEO.id2]:[MOE - 400% FPL and over - 65 years and over - No health insurance]],37,0))</f>
        <v>525</v>
      </c>
      <c r="M3">
        <f t="shared" ref="M3:M66" si="4">L3/D3</f>
        <v>0.65789473684210531</v>
      </c>
      <c r="N3" s="73">
        <f t="shared" ref="N3:N66" si="5">E3*M3</f>
        <v>525</v>
      </c>
    </row>
    <row r="4" spans="1:14" x14ac:dyDescent="0.3">
      <c r="A4">
        <v>20603</v>
      </c>
      <c r="B4" t="str">
        <f>VLOOKUP(A4,UninsuredTable[],3,0)</f>
        <v>Charles</v>
      </c>
      <c r="C4">
        <f>VLOOKUP(A4,UninsuredTable[],4,0)</f>
        <v>30263</v>
      </c>
      <c r="D4">
        <f>VLOOKUP(A4,UninsuredTable[],5,0)</f>
        <v>1103</v>
      </c>
      <c r="E4" s="73">
        <v>728.5884455915517</v>
      </c>
      <c r="F4">
        <f>SUM(VLOOKUP(A4,BaseTable[[GEO.id2]:[MOE - 400% FPL and over - 65 years and over - No health insurance]],11,0),VLOOKUP(A4,BaseTable[[GEO.id2]:[MOE - 400% FPL and over - 65 years and over - No health insurance]],31,0),VLOOKUP(A4,BaseTable[[GEO.id2]:[MOE - 400% FPL and over - 65 years and over - No health insurance]],51,0))</f>
        <v>185</v>
      </c>
      <c r="G4">
        <f t="shared" si="0"/>
        <v>0.16772438803263826</v>
      </c>
      <c r="H4" s="73">
        <f t="shared" si="1"/>
        <v>122.20205116449416</v>
      </c>
      <c r="I4">
        <f>SUM(VLOOKUP(A4,BaseTable[[GEO.id2]:[MOE - 400% FPL and over - 65 years and over - No health insurance]],77,0),VLOOKUP(A4,BaseTable[[GEO.id2]:[MOE - 400% FPL and over - 65 years and over - No health insurance]],71,0))</f>
        <v>423</v>
      </c>
      <c r="J4">
        <f t="shared" si="2"/>
        <v>0.38349954669084313</v>
      </c>
      <c r="K4" s="73">
        <f t="shared" si="3"/>
        <v>279.4133386085461</v>
      </c>
      <c r="L4">
        <f>SUM(VLOOKUP(A4,BaseTable[[GEO.id2]:[MOE - 400% FPL and over - 65 years and over - No health insurance]],17,0),VLOOKUP(A4,BaseTable[[GEO.id2]:[MOE - 400% FPL and over - 65 years and over - No health insurance]],57,0),VLOOKUP(A4,BaseTable[[GEO.id2]:[MOE - 400% FPL and over - 65 years and over - No health insurance]],37,0))</f>
        <v>469</v>
      </c>
      <c r="M4">
        <f t="shared" si="4"/>
        <v>0.42520398912058022</v>
      </c>
      <c r="N4" s="73">
        <f t="shared" si="5"/>
        <v>309.79871349269058</v>
      </c>
    </row>
    <row r="5" spans="1:14" x14ac:dyDescent="0.3">
      <c r="A5">
        <v>20607</v>
      </c>
      <c r="B5" t="str">
        <f>VLOOKUP(A5,UninsuredTable[],3,0)</f>
        <v>Prince Georges</v>
      </c>
      <c r="C5">
        <f>VLOOKUP(A5,UninsuredTable[],4,0)</f>
        <v>10706</v>
      </c>
      <c r="D5">
        <f>VLOOKUP(A5,UninsuredTable[],5,0)</f>
        <v>472</v>
      </c>
      <c r="E5" s="73">
        <v>414</v>
      </c>
      <c r="F5">
        <f>SUM(VLOOKUP(A5,BaseTable[[GEO.id2]:[MOE - 400% FPL and over - 65 years and over - No health insurance]],11,0),VLOOKUP(A5,BaseTable[[GEO.id2]:[MOE - 400% FPL and over - 65 years and over - No health insurance]],31,0),VLOOKUP(A5,BaseTable[[GEO.id2]:[MOE - 400% FPL and over - 65 years and over - No health insurance]],51,0))</f>
        <v>0</v>
      </c>
      <c r="G5">
        <f t="shared" si="0"/>
        <v>0</v>
      </c>
      <c r="H5" s="73">
        <f t="shared" si="1"/>
        <v>0</v>
      </c>
      <c r="I5">
        <f>SUM(VLOOKUP(A5,BaseTable[[GEO.id2]:[MOE - 400% FPL and over - 65 years and over - No health insurance]],77,0),VLOOKUP(A5,BaseTable[[GEO.id2]:[MOE - 400% FPL and over - 65 years and over - No health insurance]],71,0))</f>
        <v>248</v>
      </c>
      <c r="J5">
        <f t="shared" si="2"/>
        <v>0.52542372881355937</v>
      </c>
      <c r="K5" s="73">
        <f t="shared" si="3"/>
        <v>217.52542372881356</v>
      </c>
      <c r="L5">
        <f>SUM(VLOOKUP(A5,BaseTable[[GEO.id2]:[MOE - 400% FPL and over - 65 years and over - No health insurance]],17,0),VLOOKUP(A5,BaseTable[[GEO.id2]:[MOE - 400% FPL and over - 65 years and over - No health insurance]],57,0),VLOOKUP(A5,BaseTable[[GEO.id2]:[MOE - 400% FPL and over - 65 years and over - No health insurance]],37,0))</f>
        <v>166</v>
      </c>
      <c r="M5">
        <f t="shared" si="4"/>
        <v>0.35169491525423729</v>
      </c>
      <c r="N5" s="73">
        <f t="shared" si="5"/>
        <v>145.60169491525423</v>
      </c>
    </row>
    <row r="6" spans="1:14" x14ac:dyDescent="0.3">
      <c r="A6">
        <v>20613</v>
      </c>
      <c r="B6" t="str">
        <f>VLOOKUP(A6,UninsuredTable[],3,0)</f>
        <v>Prince Georges</v>
      </c>
      <c r="C6">
        <f>VLOOKUP(A6,UninsuredTable[],4,0)</f>
        <v>13950</v>
      </c>
      <c r="D6">
        <f>VLOOKUP(A6,UninsuredTable[],5,0)</f>
        <v>804</v>
      </c>
      <c r="E6" s="73">
        <v>804</v>
      </c>
      <c r="F6">
        <f>SUM(VLOOKUP(A6,BaseTable[[GEO.id2]:[MOE - 400% FPL and over - 65 years and over - No health insurance]],11,0),VLOOKUP(A6,BaseTable[[GEO.id2]:[MOE - 400% FPL and over - 65 years and over - No health insurance]],31,0),VLOOKUP(A6,BaseTable[[GEO.id2]:[MOE - 400% FPL and over - 65 years and over - No health insurance]],51,0))</f>
        <v>81</v>
      </c>
      <c r="G6">
        <f t="shared" si="0"/>
        <v>0.10074626865671642</v>
      </c>
      <c r="H6" s="73">
        <f t="shared" si="1"/>
        <v>81</v>
      </c>
      <c r="I6">
        <f>SUM(VLOOKUP(A6,BaseTable[[GEO.id2]:[MOE - 400% FPL and over - 65 years and over - No health insurance]],77,0),VLOOKUP(A6,BaseTable[[GEO.id2]:[MOE - 400% FPL and over - 65 years and over - No health insurance]],71,0))</f>
        <v>232</v>
      </c>
      <c r="J6">
        <f t="shared" si="2"/>
        <v>0.28855721393034828</v>
      </c>
      <c r="K6" s="73">
        <f t="shared" si="3"/>
        <v>232.00000000000003</v>
      </c>
      <c r="L6">
        <f>SUM(VLOOKUP(A6,BaseTable[[GEO.id2]:[MOE - 400% FPL and over - 65 years and over - No health insurance]],17,0),VLOOKUP(A6,BaseTable[[GEO.id2]:[MOE - 400% FPL and over - 65 years and over - No health insurance]],57,0),VLOOKUP(A6,BaseTable[[GEO.id2]:[MOE - 400% FPL and over - 65 years and over - No health insurance]],37,0))</f>
        <v>491</v>
      </c>
      <c r="M6">
        <f t="shared" si="4"/>
        <v>0.61069651741293529</v>
      </c>
      <c r="N6" s="73">
        <f t="shared" si="5"/>
        <v>491</v>
      </c>
    </row>
    <row r="7" spans="1:14" x14ac:dyDescent="0.3">
      <c r="A7">
        <v>20616</v>
      </c>
      <c r="B7" t="str">
        <f>VLOOKUP(A7,UninsuredTable[],3,0)</f>
        <v>Charles</v>
      </c>
      <c r="C7">
        <f>VLOOKUP(A7,UninsuredTable[],4,0)</f>
        <v>6200</v>
      </c>
      <c r="D7">
        <f>VLOOKUP(A7,UninsuredTable[],5,0)</f>
        <v>383</v>
      </c>
      <c r="E7" s="73">
        <v>383</v>
      </c>
      <c r="F7">
        <f>SUM(VLOOKUP(A7,BaseTable[[GEO.id2]:[MOE - 400% FPL and over - 65 years and over - No health insurance]],11,0),VLOOKUP(A7,BaseTable[[GEO.id2]:[MOE - 400% FPL and over - 65 years and over - No health insurance]],31,0),VLOOKUP(A7,BaseTable[[GEO.id2]:[MOE - 400% FPL and over - 65 years and over - No health insurance]],51,0))</f>
        <v>0</v>
      </c>
      <c r="G7">
        <f t="shared" si="0"/>
        <v>0</v>
      </c>
      <c r="H7" s="73">
        <f t="shared" si="1"/>
        <v>0</v>
      </c>
      <c r="I7">
        <f>SUM(VLOOKUP(A7,BaseTable[[GEO.id2]:[MOE - 400% FPL and over - 65 years and over - No health insurance]],77,0),VLOOKUP(A7,BaseTable[[GEO.id2]:[MOE - 400% FPL and over - 65 years and over - No health insurance]],71,0))</f>
        <v>174</v>
      </c>
      <c r="J7">
        <f t="shared" si="2"/>
        <v>0.45430809399477806</v>
      </c>
      <c r="K7" s="73">
        <f t="shared" si="3"/>
        <v>174</v>
      </c>
      <c r="L7">
        <f>SUM(VLOOKUP(A7,BaseTable[[GEO.id2]:[MOE - 400% FPL and over - 65 years and over - No health insurance]],17,0),VLOOKUP(A7,BaseTable[[GEO.id2]:[MOE - 400% FPL and over - 65 years and over - No health insurance]],57,0),VLOOKUP(A7,BaseTable[[GEO.id2]:[MOE - 400% FPL and over - 65 years and over - No health insurance]],37,0))</f>
        <v>209</v>
      </c>
      <c r="M7">
        <f t="shared" si="4"/>
        <v>0.54569190600522188</v>
      </c>
      <c r="N7" s="73">
        <f t="shared" si="5"/>
        <v>208.99999999999997</v>
      </c>
    </row>
    <row r="8" spans="1:14" x14ac:dyDescent="0.3">
      <c r="A8">
        <v>20619</v>
      </c>
      <c r="B8" t="str">
        <f>VLOOKUP(A8,UninsuredTable[],3,0)</f>
        <v>Saint Marys</v>
      </c>
      <c r="C8">
        <f>VLOOKUP(A8,UninsuredTable[],4,0)</f>
        <v>12196</v>
      </c>
      <c r="D8">
        <f>VLOOKUP(A8,UninsuredTable[],5,0)</f>
        <v>562</v>
      </c>
      <c r="E8" s="73">
        <v>562</v>
      </c>
      <c r="F8">
        <f>SUM(VLOOKUP(A8,BaseTable[[GEO.id2]:[MOE - 400% FPL and over - 65 years and over - No health insurance]],11,0),VLOOKUP(A8,BaseTable[[GEO.id2]:[MOE - 400% FPL and over - 65 years and over - No health insurance]],31,0),VLOOKUP(A8,BaseTable[[GEO.id2]:[MOE - 400% FPL and over - 65 years and over - No health insurance]],51,0))</f>
        <v>202</v>
      </c>
      <c r="G8">
        <f t="shared" si="0"/>
        <v>0.35943060498220641</v>
      </c>
      <c r="H8" s="73">
        <f t="shared" si="1"/>
        <v>202</v>
      </c>
      <c r="I8">
        <f>SUM(VLOOKUP(A8,BaseTable[[GEO.id2]:[MOE - 400% FPL and over - 65 years and over - No health insurance]],77,0),VLOOKUP(A8,BaseTable[[GEO.id2]:[MOE - 400% FPL and over - 65 years and over - No health insurance]],71,0))</f>
        <v>149</v>
      </c>
      <c r="J8">
        <f t="shared" si="2"/>
        <v>0.26512455516014233</v>
      </c>
      <c r="K8" s="73">
        <f t="shared" si="3"/>
        <v>149</v>
      </c>
      <c r="L8">
        <f>SUM(VLOOKUP(A8,BaseTable[[GEO.id2]:[MOE - 400% FPL and over - 65 years and over - No health insurance]],17,0),VLOOKUP(A8,BaseTable[[GEO.id2]:[MOE - 400% FPL and over - 65 years and over - No health insurance]],57,0),VLOOKUP(A8,BaseTable[[GEO.id2]:[MOE - 400% FPL and over - 65 years and over - No health insurance]],37,0))</f>
        <v>211</v>
      </c>
      <c r="M8">
        <f t="shared" si="4"/>
        <v>0.37544483985765126</v>
      </c>
      <c r="N8" s="73">
        <f t="shared" si="5"/>
        <v>211</v>
      </c>
    </row>
    <row r="9" spans="1:14" x14ac:dyDescent="0.3">
      <c r="A9">
        <v>20622</v>
      </c>
      <c r="B9" t="str">
        <f>VLOOKUP(A9,UninsuredTable[],3,0)</f>
        <v>Saint Marys</v>
      </c>
      <c r="C9">
        <f>VLOOKUP(A9,UninsuredTable[],4,0)</f>
        <v>5259</v>
      </c>
      <c r="D9">
        <f>VLOOKUP(A9,UninsuredTable[],5,0)</f>
        <v>699</v>
      </c>
      <c r="E9" s="73">
        <v>699</v>
      </c>
      <c r="F9">
        <f>SUM(VLOOKUP(A9,BaseTable[[GEO.id2]:[MOE - 400% FPL and over - 65 years and over - No health insurance]],11,0),VLOOKUP(A9,BaseTable[[GEO.id2]:[MOE - 400% FPL and over - 65 years and over - No health insurance]],31,0),VLOOKUP(A9,BaseTable[[GEO.id2]:[MOE - 400% FPL and over - 65 years and over - No health insurance]],51,0))</f>
        <v>377</v>
      </c>
      <c r="G9">
        <f t="shared" si="0"/>
        <v>0.53934191702432044</v>
      </c>
      <c r="H9" s="73">
        <f t="shared" si="1"/>
        <v>377</v>
      </c>
      <c r="I9">
        <f>SUM(VLOOKUP(A9,BaseTable[[GEO.id2]:[MOE - 400% FPL and over - 65 years and over - No health insurance]],77,0),VLOOKUP(A9,BaseTable[[GEO.id2]:[MOE - 400% FPL and over - 65 years and over - No health insurance]],71,0))</f>
        <v>131</v>
      </c>
      <c r="J9">
        <f t="shared" si="2"/>
        <v>0.18741058655221746</v>
      </c>
      <c r="K9" s="73">
        <f t="shared" si="3"/>
        <v>131</v>
      </c>
      <c r="L9">
        <f>SUM(VLOOKUP(A9,BaseTable[[GEO.id2]:[MOE - 400% FPL and over - 65 years and over - No health insurance]],17,0),VLOOKUP(A9,BaseTable[[GEO.id2]:[MOE - 400% FPL and over - 65 years and over - No health insurance]],57,0),VLOOKUP(A9,BaseTable[[GEO.id2]:[MOE - 400% FPL and over - 65 years and over - No health insurance]],37,0))</f>
        <v>191</v>
      </c>
      <c r="M9">
        <f t="shared" si="4"/>
        <v>0.27324749642346208</v>
      </c>
      <c r="N9" s="73">
        <f t="shared" si="5"/>
        <v>191</v>
      </c>
    </row>
    <row r="10" spans="1:14" x14ac:dyDescent="0.3">
      <c r="A10">
        <v>20634</v>
      </c>
      <c r="B10" t="str">
        <f>VLOOKUP(A10,UninsuredTable[],3,0)</f>
        <v>Saint Marys</v>
      </c>
      <c r="C10">
        <f>VLOOKUP(A10,UninsuredTable[],4,0)</f>
        <v>7334</v>
      </c>
      <c r="D10">
        <f>VLOOKUP(A10,UninsuredTable[],5,0)</f>
        <v>498</v>
      </c>
      <c r="E10" s="73">
        <v>498</v>
      </c>
      <c r="F10">
        <f>SUM(VLOOKUP(A10,BaseTable[[GEO.id2]:[MOE - 400% FPL and over - 65 years and over - No health insurance]],11,0),VLOOKUP(A10,BaseTable[[GEO.id2]:[MOE - 400% FPL and over - 65 years and over - No health insurance]],31,0),VLOOKUP(A10,BaseTable[[GEO.id2]:[MOE - 400% FPL and over - 65 years and over - No health insurance]],51,0))</f>
        <v>0</v>
      </c>
      <c r="G10">
        <f t="shared" si="0"/>
        <v>0</v>
      </c>
      <c r="H10" s="73">
        <f t="shared" si="1"/>
        <v>0</v>
      </c>
      <c r="I10">
        <f>SUM(VLOOKUP(A10,BaseTable[[GEO.id2]:[MOE - 400% FPL and over - 65 years and over - No health insurance]],77,0),VLOOKUP(A10,BaseTable[[GEO.id2]:[MOE - 400% FPL and over - 65 years and over - No health insurance]],71,0))</f>
        <v>87</v>
      </c>
      <c r="J10">
        <f t="shared" si="2"/>
        <v>0.1746987951807229</v>
      </c>
      <c r="K10" s="73">
        <f t="shared" si="3"/>
        <v>87</v>
      </c>
      <c r="L10">
        <f>SUM(VLOOKUP(A10,BaseTable[[GEO.id2]:[MOE - 400% FPL and over - 65 years and over - No health insurance]],17,0),VLOOKUP(A10,BaseTable[[GEO.id2]:[MOE - 400% FPL and over - 65 years and over - No health insurance]],57,0),VLOOKUP(A10,BaseTable[[GEO.id2]:[MOE - 400% FPL and over - 65 years and over - No health insurance]],37,0))</f>
        <v>411</v>
      </c>
      <c r="M10">
        <f t="shared" si="4"/>
        <v>0.82530120481927716</v>
      </c>
      <c r="N10" s="73">
        <f t="shared" si="5"/>
        <v>411</v>
      </c>
    </row>
    <row r="11" spans="1:14" x14ac:dyDescent="0.3">
      <c r="A11">
        <v>20636</v>
      </c>
      <c r="B11" t="str">
        <f>VLOOKUP(A11,UninsuredTable[],3,0)</f>
        <v>Saint Marys</v>
      </c>
      <c r="C11">
        <f>VLOOKUP(A11,UninsuredTable[],4,0)</f>
        <v>11217</v>
      </c>
      <c r="D11">
        <f>VLOOKUP(A11,UninsuredTable[],5,0)</f>
        <v>326</v>
      </c>
      <c r="E11" s="73">
        <v>326</v>
      </c>
      <c r="F11">
        <f>SUM(VLOOKUP(A11,BaseTable[[GEO.id2]:[MOE - 400% FPL and over - 65 years and over - No health insurance]],11,0),VLOOKUP(A11,BaseTable[[GEO.id2]:[MOE - 400% FPL and over - 65 years and over - No health insurance]],31,0),VLOOKUP(A11,BaseTable[[GEO.id2]:[MOE - 400% FPL and over - 65 years and over - No health insurance]],51,0))</f>
        <v>43</v>
      </c>
      <c r="G11">
        <f t="shared" si="0"/>
        <v>0.13190184049079753</v>
      </c>
      <c r="H11" s="73">
        <f t="shared" si="1"/>
        <v>42.999999999999993</v>
      </c>
      <c r="I11">
        <f>SUM(VLOOKUP(A11,BaseTable[[GEO.id2]:[MOE - 400% FPL and over - 65 years and over - No health insurance]],77,0),VLOOKUP(A11,BaseTable[[GEO.id2]:[MOE - 400% FPL and over - 65 years and over - No health insurance]],71,0))</f>
        <v>44</v>
      </c>
      <c r="J11">
        <f t="shared" si="2"/>
        <v>0.13496932515337423</v>
      </c>
      <c r="K11" s="73">
        <f t="shared" si="3"/>
        <v>44</v>
      </c>
      <c r="L11">
        <f>SUM(VLOOKUP(A11,BaseTable[[GEO.id2]:[MOE - 400% FPL and over - 65 years and over - No health insurance]],17,0),VLOOKUP(A11,BaseTable[[GEO.id2]:[MOE - 400% FPL and over - 65 years and over - No health insurance]],57,0),VLOOKUP(A11,BaseTable[[GEO.id2]:[MOE - 400% FPL and over - 65 years and over - No health insurance]],37,0))</f>
        <v>239</v>
      </c>
      <c r="M11">
        <f t="shared" si="4"/>
        <v>0.73312883435582821</v>
      </c>
      <c r="N11" s="73">
        <f t="shared" si="5"/>
        <v>239</v>
      </c>
    </row>
    <row r="12" spans="1:14" x14ac:dyDescent="0.3">
      <c r="A12">
        <v>20639</v>
      </c>
      <c r="B12" t="str">
        <f>VLOOKUP(A12,UninsuredTable[],3,0)</f>
        <v>Calvert</v>
      </c>
      <c r="C12">
        <f>VLOOKUP(A12,UninsuredTable[],4,0)</f>
        <v>14457</v>
      </c>
      <c r="D12">
        <f>VLOOKUP(A12,UninsuredTable[],5,0)</f>
        <v>784</v>
      </c>
      <c r="E12" s="73">
        <v>784</v>
      </c>
      <c r="F12">
        <f>SUM(VLOOKUP(A12,BaseTable[[GEO.id2]:[MOE - 400% FPL and over - 65 years and over - No health insurance]],11,0),VLOOKUP(A12,BaseTable[[GEO.id2]:[MOE - 400% FPL and over - 65 years and over - No health insurance]],31,0),VLOOKUP(A12,BaseTable[[GEO.id2]:[MOE - 400% FPL and over - 65 years and over - No health insurance]],51,0))</f>
        <v>241</v>
      </c>
      <c r="G12">
        <f t="shared" si="0"/>
        <v>0.30739795918367346</v>
      </c>
      <c r="H12" s="73">
        <f t="shared" si="1"/>
        <v>241</v>
      </c>
      <c r="I12">
        <f>SUM(VLOOKUP(A12,BaseTable[[GEO.id2]:[MOE - 400% FPL and over - 65 years and over - No health insurance]],77,0),VLOOKUP(A12,BaseTable[[GEO.id2]:[MOE - 400% FPL and over - 65 years and over - No health insurance]],71,0))</f>
        <v>217</v>
      </c>
      <c r="J12">
        <f t="shared" si="2"/>
        <v>0.2767857142857143</v>
      </c>
      <c r="K12" s="73">
        <f t="shared" si="3"/>
        <v>217</v>
      </c>
      <c r="L12">
        <f>SUM(VLOOKUP(A12,BaseTable[[GEO.id2]:[MOE - 400% FPL and over - 65 years and over - No health insurance]],17,0),VLOOKUP(A12,BaseTable[[GEO.id2]:[MOE - 400% FPL and over - 65 years and over - No health insurance]],57,0),VLOOKUP(A12,BaseTable[[GEO.id2]:[MOE - 400% FPL and over - 65 years and over - No health insurance]],37,0))</f>
        <v>326</v>
      </c>
      <c r="M12">
        <f t="shared" si="4"/>
        <v>0.41581632653061223</v>
      </c>
      <c r="N12" s="73">
        <f t="shared" si="5"/>
        <v>326</v>
      </c>
    </row>
    <row r="13" spans="1:14" x14ac:dyDescent="0.3">
      <c r="A13">
        <v>20640</v>
      </c>
      <c r="B13" t="str">
        <f>VLOOKUP(A13,UninsuredTable[],3,0)</f>
        <v>Charles</v>
      </c>
      <c r="C13">
        <f>VLOOKUP(A13,UninsuredTable[],4,0)</f>
        <v>10126</v>
      </c>
      <c r="D13">
        <f>VLOOKUP(A13,UninsuredTable[],5,0)</f>
        <v>512</v>
      </c>
      <c r="E13" s="73">
        <v>508</v>
      </c>
      <c r="F13">
        <f>SUM(VLOOKUP(A13,BaseTable[[GEO.id2]:[MOE - 400% FPL and over - 65 years and over - No health insurance]],11,0),VLOOKUP(A13,BaseTable[[GEO.id2]:[MOE - 400% FPL and over - 65 years and over - No health insurance]],31,0),VLOOKUP(A13,BaseTable[[GEO.id2]:[MOE - 400% FPL and over - 65 years and over - No health insurance]],51,0))</f>
        <v>20</v>
      </c>
      <c r="G13">
        <f t="shared" si="0"/>
        <v>3.90625E-2</v>
      </c>
      <c r="H13" s="73">
        <f t="shared" si="1"/>
        <v>19.84375</v>
      </c>
      <c r="I13">
        <f>SUM(VLOOKUP(A13,BaseTable[[GEO.id2]:[MOE - 400% FPL and over - 65 years and over - No health insurance]],77,0),VLOOKUP(A13,BaseTable[[GEO.id2]:[MOE - 400% FPL and over - 65 years and over - No health insurance]],71,0))</f>
        <v>133</v>
      </c>
      <c r="J13">
        <f t="shared" si="2"/>
        <v>0.259765625</v>
      </c>
      <c r="K13" s="73">
        <f t="shared" si="3"/>
        <v>131.9609375</v>
      </c>
      <c r="L13">
        <f>SUM(VLOOKUP(A13,BaseTable[[GEO.id2]:[MOE - 400% FPL and over - 65 years and over - No health insurance]],17,0),VLOOKUP(A13,BaseTable[[GEO.id2]:[MOE - 400% FPL and over - 65 years and over - No health insurance]],57,0),VLOOKUP(A13,BaseTable[[GEO.id2]:[MOE - 400% FPL and over - 65 years and over - No health insurance]],37,0))</f>
        <v>355</v>
      </c>
      <c r="M13">
        <f t="shared" si="4"/>
        <v>0.693359375</v>
      </c>
      <c r="N13" s="73">
        <f t="shared" si="5"/>
        <v>352.2265625</v>
      </c>
    </row>
    <row r="14" spans="1:14" x14ac:dyDescent="0.3">
      <c r="A14">
        <v>20646</v>
      </c>
      <c r="B14" t="str">
        <f>VLOOKUP(A14,UninsuredTable[],3,0)</f>
        <v>Charles</v>
      </c>
      <c r="C14">
        <f>VLOOKUP(A14,UninsuredTable[],4,0)</f>
        <v>19226</v>
      </c>
      <c r="D14">
        <f>VLOOKUP(A14,UninsuredTable[],5,0)</f>
        <v>835</v>
      </c>
      <c r="E14" s="73">
        <v>835</v>
      </c>
      <c r="F14">
        <f>SUM(VLOOKUP(A14,BaseTable[[GEO.id2]:[MOE - 400% FPL and over - 65 years and over - No health insurance]],11,0),VLOOKUP(A14,BaseTable[[GEO.id2]:[MOE - 400% FPL and over - 65 years and over - No health insurance]],31,0),VLOOKUP(A14,BaseTable[[GEO.id2]:[MOE - 400% FPL and over - 65 years and over - No health insurance]],51,0))</f>
        <v>128</v>
      </c>
      <c r="G14">
        <f t="shared" si="0"/>
        <v>0.15329341317365269</v>
      </c>
      <c r="H14" s="73">
        <f t="shared" si="1"/>
        <v>128</v>
      </c>
      <c r="I14">
        <f>SUM(VLOOKUP(A14,BaseTable[[GEO.id2]:[MOE - 400% FPL and over - 65 years and over - No health insurance]],77,0),VLOOKUP(A14,BaseTable[[GEO.id2]:[MOE - 400% FPL and over - 65 years and over - No health insurance]],71,0))</f>
        <v>291</v>
      </c>
      <c r="J14">
        <f t="shared" si="2"/>
        <v>0.34850299401197604</v>
      </c>
      <c r="K14" s="73">
        <f t="shared" si="3"/>
        <v>291</v>
      </c>
      <c r="L14">
        <f>SUM(VLOOKUP(A14,BaseTable[[GEO.id2]:[MOE - 400% FPL and over - 65 years and over - No health insurance]],17,0),VLOOKUP(A14,BaseTable[[GEO.id2]:[MOE - 400% FPL and over - 65 years and over - No health insurance]],57,0),VLOOKUP(A14,BaseTable[[GEO.id2]:[MOE - 400% FPL and over - 65 years and over - No health insurance]],37,0))</f>
        <v>416</v>
      </c>
      <c r="M14">
        <f t="shared" si="4"/>
        <v>0.49820359281437127</v>
      </c>
      <c r="N14" s="73">
        <f t="shared" si="5"/>
        <v>416</v>
      </c>
    </row>
    <row r="15" spans="1:14" x14ac:dyDescent="0.3">
      <c r="A15">
        <v>20650</v>
      </c>
      <c r="B15" t="str">
        <f>VLOOKUP(A15,UninsuredTable[],3,0)</f>
        <v>Saint Marys</v>
      </c>
      <c r="C15">
        <f>VLOOKUP(A15,UninsuredTable[],4,0)</f>
        <v>13626</v>
      </c>
      <c r="D15">
        <f>VLOOKUP(A15,UninsuredTable[],5,0)</f>
        <v>861</v>
      </c>
      <c r="E15" s="73">
        <v>849</v>
      </c>
      <c r="F15">
        <f>SUM(VLOOKUP(A15,BaseTable[[GEO.id2]:[MOE - 400% FPL and over - 65 years and over - No health insurance]],11,0),VLOOKUP(A15,BaseTable[[GEO.id2]:[MOE - 400% FPL and over - 65 years and over - No health insurance]],31,0),VLOOKUP(A15,BaseTable[[GEO.id2]:[MOE - 400% FPL and over - 65 years and over - No health insurance]],51,0))</f>
        <v>187</v>
      </c>
      <c r="G15">
        <f t="shared" si="0"/>
        <v>0.21718931475029035</v>
      </c>
      <c r="H15" s="73">
        <f t="shared" si="1"/>
        <v>184.39372822299651</v>
      </c>
      <c r="I15">
        <f>SUM(VLOOKUP(A15,BaseTable[[GEO.id2]:[MOE - 400% FPL and over - 65 years and over - No health insurance]],77,0),VLOOKUP(A15,BaseTable[[GEO.id2]:[MOE - 400% FPL and over - 65 years and over - No health insurance]],71,0))</f>
        <v>281</v>
      </c>
      <c r="J15">
        <f t="shared" si="2"/>
        <v>0.32636469221835074</v>
      </c>
      <c r="K15" s="73">
        <f t="shared" si="3"/>
        <v>277.08362369337976</v>
      </c>
      <c r="L15">
        <f>SUM(VLOOKUP(A15,BaseTable[[GEO.id2]:[MOE - 400% FPL and over - 65 years and over - No health insurance]],17,0),VLOOKUP(A15,BaseTable[[GEO.id2]:[MOE - 400% FPL and over - 65 years and over - No health insurance]],57,0),VLOOKUP(A15,BaseTable[[GEO.id2]:[MOE - 400% FPL and over - 65 years and over - No health insurance]],37,0))</f>
        <v>381</v>
      </c>
      <c r="M15">
        <f t="shared" si="4"/>
        <v>0.4425087108013937</v>
      </c>
      <c r="N15" s="73">
        <f t="shared" si="5"/>
        <v>375.68989547038325</v>
      </c>
    </row>
    <row r="16" spans="1:14" x14ac:dyDescent="0.3">
      <c r="A16">
        <v>20653</v>
      </c>
      <c r="B16" t="str">
        <f>VLOOKUP(A16,UninsuredTable[],3,0)</f>
        <v>Saint Marys</v>
      </c>
      <c r="C16">
        <f>VLOOKUP(A16,UninsuredTable[],4,0)</f>
        <v>22628</v>
      </c>
      <c r="D16">
        <f>VLOOKUP(A16,UninsuredTable[],5,0)</f>
        <v>1615</v>
      </c>
      <c r="E16" s="73">
        <v>944.79049888519057</v>
      </c>
      <c r="F16">
        <f>SUM(VLOOKUP(A16,BaseTable[[GEO.id2]:[MOE - 400% FPL and over - 65 years and over - No health insurance]],11,0),VLOOKUP(A16,BaseTable[[GEO.id2]:[MOE - 400% FPL and over - 65 years and over - No health insurance]],31,0),VLOOKUP(A16,BaseTable[[GEO.id2]:[MOE - 400% FPL and over - 65 years and over - No health insurance]],51,0))</f>
        <v>100</v>
      </c>
      <c r="G16">
        <f t="shared" si="0"/>
        <v>6.1919504643962849E-2</v>
      </c>
      <c r="H16" s="73">
        <f t="shared" si="1"/>
        <v>58.500959683293537</v>
      </c>
      <c r="I16">
        <f>SUM(VLOOKUP(A16,BaseTable[[GEO.id2]:[MOE - 400% FPL and over - 65 years and over - No health insurance]],77,0),VLOOKUP(A16,BaseTable[[GEO.id2]:[MOE - 400% FPL and over - 65 years and over - No health insurance]],71,0))</f>
        <v>247</v>
      </c>
      <c r="J16">
        <f t="shared" si="2"/>
        <v>0.15294117647058825</v>
      </c>
      <c r="K16" s="73">
        <f t="shared" si="3"/>
        <v>144.49737041773503</v>
      </c>
      <c r="L16">
        <f>SUM(VLOOKUP(A16,BaseTable[[GEO.id2]:[MOE - 400% FPL and over - 65 years and over - No health insurance]],17,0),VLOOKUP(A16,BaseTable[[GEO.id2]:[MOE - 400% FPL and over - 65 years and over - No health insurance]],57,0),VLOOKUP(A16,BaseTable[[GEO.id2]:[MOE - 400% FPL and over - 65 years and over - No health insurance]],37,0))</f>
        <v>1250</v>
      </c>
      <c r="M16">
        <f t="shared" si="4"/>
        <v>0.77399380804953566</v>
      </c>
      <c r="N16" s="73">
        <f t="shared" si="5"/>
        <v>731.26199604116925</v>
      </c>
    </row>
    <row r="17" spans="1:14" x14ac:dyDescent="0.3">
      <c r="A17">
        <v>20657</v>
      </c>
      <c r="B17" t="str">
        <f>VLOOKUP(A17,UninsuredTable[],3,0)</f>
        <v>Calvert</v>
      </c>
      <c r="C17">
        <f>VLOOKUP(A17,UninsuredTable[],4,0)</f>
        <v>18439</v>
      </c>
      <c r="D17">
        <f>VLOOKUP(A17,UninsuredTable[],5,0)</f>
        <v>1347</v>
      </c>
      <c r="E17" s="73">
        <v>1020.3545208875034</v>
      </c>
      <c r="F17">
        <f>SUM(VLOOKUP(A17,BaseTable[[GEO.id2]:[MOE - 400% FPL and over - 65 years and over - No health insurance]],11,0),VLOOKUP(A17,BaseTable[[GEO.id2]:[MOE - 400% FPL and over - 65 years and over - No health insurance]],31,0),VLOOKUP(A17,BaseTable[[GEO.id2]:[MOE - 400% FPL and over - 65 years and over - No health insurance]],51,0))</f>
        <v>194</v>
      </c>
      <c r="G17">
        <f t="shared" si="0"/>
        <v>0.14402375649591687</v>
      </c>
      <c r="H17" s="73">
        <f t="shared" si="1"/>
        <v>146.95529105580971</v>
      </c>
      <c r="I17">
        <f>SUM(VLOOKUP(A17,BaseTable[[GEO.id2]:[MOE - 400% FPL and over - 65 years and over - No health insurance]],77,0),VLOOKUP(A17,BaseTable[[GEO.id2]:[MOE - 400% FPL and over - 65 years and over - No health insurance]],71,0))</f>
        <v>243</v>
      </c>
      <c r="J17">
        <f t="shared" si="2"/>
        <v>0.18040089086859687</v>
      </c>
      <c r="K17" s="73">
        <f t="shared" si="3"/>
        <v>184.07286456990596</v>
      </c>
      <c r="L17">
        <f>SUM(VLOOKUP(A17,BaseTable[[GEO.id2]:[MOE - 400% FPL and over - 65 years and over - No health insurance]],17,0),VLOOKUP(A17,BaseTable[[GEO.id2]:[MOE - 400% FPL and over - 65 years and over - No health insurance]],57,0),VLOOKUP(A17,BaseTable[[GEO.id2]:[MOE - 400% FPL and over - 65 years and over - No health insurance]],37,0))</f>
        <v>910</v>
      </c>
      <c r="M17">
        <f t="shared" si="4"/>
        <v>0.67557535263548629</v>
      </c>
      <c r="N17" s="73">
        <f t="shared" si="5"/>
        <v>689.32636526178783</v>
      </c>
    </row>
    <row r="18" spans="1:14" x14ac:dyDescent="0.3">
      <c r="A18">
        <v>20659</v>
      </c>
      <c r="B18" t="str">
        <f>VLOOKUP(A18,UninsuredTable[],3,0)</f>
        <v>Saint Marys</v>
      </c>
      <c r="C18">
        <f>VLOOKUP(A18,UninsuredTable[],4,0)</f>
        <v>23361</v>
      </c>
      <c r="D18">
        <f>VLOOKUP(A18,UninsuredTable[],5,0)</f>
        <v>1525</v>
      </c>
      <c r="E18" s="73">
        <v>1142.7200378204677</v>
      </c>
      <c r="F18">
        <f>SUM(VLOOKUP(A18,BaseTable[[GEO.id2]:[MOE - 400% FPL and over - 65 years and over - No health insurance]],11,0),VLOOKUP(A18,BaseTable[[GEO.id2]:[MOE - 400% FPL and over - 65 years and over - No health insurance]],31,0),VLOOKUP(A18,BaseTable[[GEO.id2]:[MOE - 400% FPL and over - 65 years and over - No health insurance]],51,0))</f>
        <v>356</v>
      </c>
      <c r="G18">
        <f t="shared" si="0"/>
        <v>0.23344262295081966</v>
      </c>
      <c r="H18" s="73">
        <f t="shared" si="1"/>
        <v>266.75956292726983</v>
      </c>
      <c r="I18">
        <f>SUM(VLOOKUP(A18,BaseTable[[GEO.id2]:[MOE - 400% FPL and over - 65 years and over - No health insurance]],77,0),VLOOKUP(A18,BaseTable[[GEO.id2]:[MOE - 400% FPL and over - 65 years and over - No health insurance]],71,0))</f>
        <v>482</v>
      </c>
      <c r="J18">
        <f t="shared" si="2"/>
        <v>0.31606557377049183</v>
      </c>
      <c r="K18" s="73">
        <f t="shared" si="3"/>
        <v>361.17446441276422</v>
      </c>
      <c r="L18">
        <f>SUM(VLOOKUP(A18,BaseTable[[GEO.id2]:[MOE - 400% FPL and over - 65 years and over - No health insurance]],17,0),VLOOKUP(A18,BaseTable[[GEO.id2]:[MOE - 400% FPL and over - 65 years and over - No health insurance]],57,0),VLOOKUP(A18,BaseTable[[GEO.id2]:[MOE - 400% FPL and over - 65 years and over - No health insurance]],37,0))</f>
        <v>636</v>
      </c>
      <c r="M18">
        <f t="shared" si="4"/>
        <v>0.41704918032786886</v>
      </c>
      <c r="N18" s="73">
        <f t="shared" si="5"/>
        <v>476.57045511725738</v>
      </c>
    </row>
    <row r="19" spans="1:14" x14ac:dyDescent="0.3">
      <c r="A19">
        <v>20678</v>
      </c>
      <c r="B19" t="str">
        <f>VLOOKUP(A19,UninsuredTable[],3,0)</f>
        <v>Calvert</v>
      </c>
      <c r="C19">
        <f>VLOOKUP(A19,UninsuredTable[],4,0)</f>
        <v>12108</v>
      </c>
      <c r="D19">
        <f>VLOOKUP(A19,UninsuredTable[],5,0)</f>
        <v>733</v>
      </c>
      <c r="E19" s="73">
        <v>696</v>
      </c>
      <c r="F19">
        <f>SUM(VLOOKUP(A19,BaseTable[[GEO.id2]:[MOE - 400% FPL and over - 65 years and over - No health insurance]],11,0),VLOOKUP(A19,BaseTable[[GEO.id2]:[MOE - 400% FPL and over - 65 years and over - No health insurance]],31,0),VLOOKUP(A19,BaseTable[[GEO.id2]:[MOE - 400% FPL and over - 65 years and over - No health insurance]],51,0))</f>
        <v>24</v>
      </c>
      <c r="G19">
        <f t="shared" si="0"/>
        <v>3.2742155525238743E-2</v>
      </c>
      <c r="H19" s="73">
        <f t="shared" si="1"/>
        <v>22.788540245566164</v>
      </c>
      <c r="I19">
        <f>SUM(VLOOKUP(A19,BaseTable[[GEO.id2]:[MOE - 400% FPL and over - 65 years and over - No health insurance]],77,0),VLOOKUP(A19,BaseTable[[GEO.id2]:[MOE - 400% FPL and over - 65 years and over - No health insurance]],71,0))</f>
        <v>227</v>
      </c>
      <c r="J19">
        <f t="shared" si="2"/>
        <v>0.30968622100954979</v>
      </c>
      <c r="K19" s="73">
        <f t="shared" si="3"/>
        <v>215.54160982264665</v>
      </c>
      <c r="L19">
        <f>SUM(VLOOKUP(A19,BaseTable[[GEO.id2]:[MOE - 400% FPL and over - 65 years and over - No health insurance]],17,0),VLOOKUP(A19,BaseTable[[GEO.id2]:[MOE - 400% FPL and over - 65 years and over - No health insurance]],57,0),VLOOKUP(A19,BaseTable[[GEO.id2]:[MOE - 400% FPL and over - 65 years and over - No health insurance]],37,0))</f>
        <v>445</v>
      </c>
      <c r="M19">
        <f t="shared" si="4"/>
        <v>0.60709413369713505</v>
      </c>
      <c r="N19" s="73">
        <f t="shared" si="5"/>
        <v>422.53751705320599</v>
      </c>
    </row>
    <row r="20" spans="1:14" x14ac:dyDescent="0.3">
      <c r="A20">
        <v>20685</v>
      </c>
      <c r="B20" t="str">
        <f>VLOOKUP(A20,UninsuredTable[],3,0)</f>
        <v>Calvert</v>
      </c>
      <c r="C20">
        <f>VLOOKUP(A20,UninsuredTable[],4,0)</f>
        <v>6472</v>
      </c>
      <c r="D20">
        <f>VLOOKUP(A20,UninsuredTable[],5,0)</f>
        <v>363</v>
      </c>
      <c r="E20" s="73">
        <v>363</v>
      </c>
      <c r="F20">
        <f>SUM(VLOOKUP(A20,BaseTable[[GEO.id2]:[MOE - 400% FPL and over - 65 years and over - No health insurance]],11,0),VLOOKUP(A20,BaseTable[[GEO.id2]:[MOE - 400% FPL and over - 65 years and over - No health insurance]],31,0),VLOOKUP(A20,BaseTable[[GEO.id2]:[MOE - 400% FPL and over - 65 years and over - No health insurance]],51,0))</f>
        <v>48</v>
      </c>
      <c r="G20">
        <f t="shared" si="0"/>
        <v>0.13223140495867769</v>
      </c>
      <c r="H20" s="73">
        <f t="shared" si="1"/>
        <v>48</v>
      </c>
      <c r="I20">
        <f>SUM(VLOOKUP(A20,BaseTable[[GEO.id2]:[MOE - 400% FPL and over - 65 years and over - No health insurance]],77,0),VLOOKUP(A20,BaseTable[[GEO.id2]:[MOE - 400% FPL and over - 65 years and over - No health insurance]],71,0))</f>
        <v>89</v>
      </c>
      <c r="J20">
        <f t="shared" si="2"/>
        <v>0.24517906336088155</v>
      </c>
      <c r="K20" s="73">
        <f t="shared" si="3"/>
        <v>89</v>
      </c>
      <c r="L20">
        <f>SUM(VLOOKUP(A20,BaseTable[[GEO.id2]:[MOE - 400% FPL and over - 65 years and over - No health insurance]],17,0),VLOOKUP(A20,BaseTable[[GEO.id2]:[MOE - 400% FPL and over - 65 years and over - No health insurance]],57,0),VLOOKUP(A20,BaseTable[[GEO.id2]:[MOE - 400% FPL and over - 65 years and over - No health insurance]],37,0))</f>
        <v>226</v>
      </c>
      <c r="M20">
        <f t="shared" si="4"/>
        <v>0.62258953168044073</v>
      </c>
      <c r="N20" s="73">
        <f t="shared" si="5"/>
        <v>226</v>
      </c>
    </row>
    <row r="21" spans="1:14" x14ac:dyDescent="0.3">
      <c r="A21">
        <v>20705</v>
      </c>
      <c r="B21" t="str">
        <f>VLOOKUP(A21,UninsuredTable[],3,0)</f>
        <v>Prince Georges</v>
      </c>
      <c r="C21">
        <f>VLOOKUP(A21,UninsuredTable[],4,0)</f>
        <v>27642</v>
      </c>
      <c r="D21">
        <f>VLOOKUP(A21,UninsuredTable[],5,0)</f>
        <v>3251</v>
      </c>
      <c r="E21" s="73">
        <v>1680.4119415571558</v>
      </c>
      <c r="F21">
        <f>SUM(VLOOKUP(A21,BaseTable[[GEO.id2]:[MOE - 400% FPL and over - 65 years and over - No health insurance]],11,0),VLOOKUP(A21,BaseTable[[GEO.id2]:[MOE - 400% FPL and over - 65 years and over - No health insurance]],31,0),VLOOKUP(A21,BaseTable[[GEO.id2]:[MOE - 400% FPL and over - 65 years and over - No health insurance]],51,0))</f>
        <v>341</v>
      </c>
      <c r="G21">
        <f t="shared" si="0"/>
        <v>0.10489080282989849</v>
      </c>
      <c r="H21" s="73">
        <f t="shared" si="1"/>
        <v>176.25975763487853</v>
      </c>
      <c r="I21">
        <f>SUM(VLOOKUP(A21,BaseTable[[GEO.id2]:[MOE - 400% FPL and over - 65 years and over - No health insurance]],77,0),VLOOKUP(A21,BaseTable[[GEO.id2]:[MOE - 400% FPL and over - 65 years and over - No health insurance]],71,0))</f>
        <v>934</v>
      </c>
      <c r="J21">
        <f t="shared" si="2"/>
        <v>0.2872962165487542</v>
      </c>
      <c r="K21" s="73">
        <f t="shared" si="3"/>
        <v>482.77599305271713</v>
      </c>
      <c r="L21">
        <f>SUM(VLOOKUP(A21,BaseTable[[GEO.id2]:[MOE - 400% FPL and over - 65 years and over - No health insurance]],17,0),VLOOKUP(A21,BaseTable[[GEO.id2]:[MOE - 400% FPL and over - 65 years and over - No health insurance]],57,0),VLOOKUP(A21,BaseTable[[GEO.id2]:[MOE - 400% FPL and over - 65 years and over - No health insurance]],37,0))</f>
        <v>1868</v>
      </c>
      <c r="M21">
        <f t="shared" si="4"/>
        <v>0.5745924330975084</v>
      </c>
      <c r="N21" s="73">
        <f t="shared" si="5"/>
        <v>965.55198610543425</v>
      </c>
    </row>
    <row r="22" spans="1:14" x14ac:dyDescent="0.3">
      <c r="A22">
        <v>20706</v>
      </c>
      <c r="B22" t="str">
        <f>VLOOKUP(A22,UninsuredTable[],3,0)</f>
        <v>Prince Georges</v>
      </c>
      <c r="C22">
        <f>VLOOKUP(A22,UninsuredTable[],4,0)</f>
        <v>39732</v>
      </c>
      <c r="D22">
        <f>VLOOKUP(A22,UninsuredTable[],5,0)</f>
        <v>5608</v>
      </c>
      <c r="E22" s="73">
        <v>2762.9530527889401</v>
      </c>
      <c r="F22">
        <f>SUM(VLOOKUP(A22,BaseTable[[GEO.id2]:[MOE - 400% FPL and over - 65 years and over - No health insurance]],11,0),VLOOKUP(A22,BaseTable[[GEO.id2]:[MOE - 400% FPL and over - 65 years and over - No health insurance]],31,0),VLOOKUP(A22,BaseTable[[GEO.id2]:[MOE - 400% FPL and over - 65 years and over - No health insurance]],51,0))</f>
        <v>916</v>
      </c>
      <c r="G22">
        <f t="shared" si="0"/>
        <v>0.16333808844507847</v>
      </c>
      <c r="H22" s="73">
        <f t="shared" si="1"/>
        <v>451.29547010603943</v>
      </c>
      <c r="I22">
        <f>SUM(VLOOKUP(A22,BaseTable[[GEO.id2]:[MOE - 400% FPL and over - 65 years and over - No health insurance]],77,0),VLOOKUP(A22,BaseTable[[GEO.id2]:[MOE - 400% FPL and over - 65 years and over - No health insurance]],71,0))</f>
        <v>812</v>
      </c>
      <c r="J22">
        <f t="shared" si="2"/>
        <v>0.14479315263908701</v>
      </c>
      <c r="K22" s="73">
        <f t="shared" si="3"/>
        <v>400.05668310710047</v>
      </c>
      <c r="L22">
        <f>SUM(VLOOKUP(A22,BaseTable[[GEO.id2]:[MOE - 400% FPL and over - 65 years and over - No health insurance]],17,0),VLOOKUP(A22,BaseTable[[GEO.id2]:[MOE - 400% FPL and over - 65 years and over - No health insurance]],57,0),VLOOKUP(A22,BaseTable[[GEO.id2]:[MOE - 400% FPL and over - 65 years and over - No health insurance]],37,0))</f>
        <v>3737</v>
      </c>
      <c r="M22">
        <f t="shared" si="4"/>
        <v>0.66636947218259635</v>
      </c>
      <c r="N22" s="73">
        <f t="shared" si="5"/>
        <v>1841.1475674522592</v>
      </c>
    </row>
    <row r="23" spans="1:14" x14ac:dyDescent="0.3">
      <c r="A23">
        <v>20707</v>
      </c>
      <c r="B23" t="str">
        <f>VLOOKUP(A23,UninsuredTable[],3,0)</f>
        <v>Prince Georges</v>
      </c>
      <c r="C23">
        <f>VLOOKUP(A23,UninsuredTable[],4,0)</f>
        <v>32413</v>
      </c>
      <c r="D23">
        <f>VLOOKUP(A23,UninsuredTable[],5,0)</f>
        <v>3087</v>
      </c>
      <c r="E23" s="73">
        <v>1510.821820876643</v>
      </c>
      <c r="F23">
        <f>SUM(VLOOKUP(A23,BaseTable[[GEO.id2]:[MOE - 400% FPL and over - 65 years and over - No health insurance]],11,0),VLOOKUP(A23,BaseTable[[GEO.id2]:[MOE - 400% FPL and over - 65 years and over - No health insurance]],31,0),VLOOKUP(A23,BaseTable[[GEO.id2]:[MOE - 400% FPL and over - 65 years and over - No health insurance]],51,0))</f>
        <v>264</v>
      </c>
      <c r="G23">
        <f t="shared" si="0"/>
        <v>8.5519922254616132E-2</v>
      </c>
      <c r="H23" s="73">
        <f t="shared" si="1"/>
        <v>129.2053646619481</v>
      </c>
      <c r="I23">
        <f>SUM(VLOOKUP(A23,BaseTable[[GEO.id2]:[MOE - 400% FPL and over - 65 years and over - No health insurance]],77,0),VLOOKUP(A23,BaseTable[[GEO.id2]:[MOE - 400% FPL and over - 65 years and over - No health insurance]],71,0))</f>
        <v>594</v>
      </c>
      <c r="J23">
        <f t="shared" si="2"/>
        <v>0.1924198250728863</v>
      </c>
      <c r="K23" s="73">
        <f t="shared" si="3"/>
        <v>290.71207048938317</v>
      </c>
      <c r="L23">
        <f>SUM(VLOOKUP(A23,BaseTable[[GEO.id2]:[MOE - 400% FPL and over - 65 years and over - No health insurance]],17,0),VLOOKUP(A23,BaseTable[[GEO.id2]:[MOE - 400% FPL and over - 65 years and over - No health insurance]],57,0),VLOOKUP(A23,BaseTable[[GEO.id2]:[MOE - 400% FPL and over - 65 years and over - No health insurance]],37,0))</f>
        <v>2113</v>
      </c>
      <c r="M23">
        <f t="shared" si="4"/>
        <v>0.68448331713637833</v>
      </c>
      <c r="N23" s="73">
        <f t="shared" si="5"/>
        <v>1034.1323315556679</v>
      </c>
    </row>
    <row r="24" spans="1:14" x14ac:dyDescent="0.3">
      <c r="A24">
        <v>20708</v>
      </c>
      <c r="B24" t="str">
        <f>VLOOKUP(A24,UninsuredTable[],3,0)</f>
        <v>Prince Georges</v>
      </c>
      <c r="C24">
        <f>VLOOKUP(A24,UninsuredTable[],4,0)</f>
        <v>25634</v>
      </c>
      <c r="D24">
        <f>VLOOKUP(A24,UninsuredTable[],5,0)</f>
        <v>2900</v>
      </c>
      <c r="E24" s="73">
        <v>1583.6659941608266</v>
      </c>
      <c r="F24">
        <f>SUM(VLOOKUP(A24,BaseTable[[GEO.id2]:[MOE - 400% FPL and over - 65 years and over - No health insurance]],11,0),VLOOKUP(A24,BaseTable[[GEO.id2]:[MOE - 400% FPL and over - 65 years and over - No health insurance]],31,0),VLOOKUP(A24,BaseTable[[GEO.id2]:[MOE - 400% FPL and over - 65 years and over - No health insurance]],51,0))</f>
        <v>288</v>
      </c>
      <c r="G24">
        <f t="shared" si="0"/>
        <v>9.9310344827586203E-2</v>
      </c>
      <c r="H24" s="73">
        <f t="shared" si="1"/>
        <v>157.2744159718338</v>
      </c>
      <c r="I24">
        <f>SUM(VLOOKUP(A24,BaseTable[[GEO.id2]:[MOE - 400% FPL and over - 65 years and over - No health insurance]],77,0),VLOOKUP(A24,BaseTable[[GEO.id2]:[MOE - 400% FPL and over - 65 years and over - No health insurance]],71,0))</f>
        <v>460</v>
      </c>
      <c r="J24">
        <f t="shared" si="2"/>
        <v>0.15862068965517243</v>
      </c>
      <c r="K24" s="73">
        <f t="shared" si="3"/>
        <v>251.20219217723459</v>
      </c>
      <c r="L24">
        <f>SUM(VLOOKUP(A24,BaseTable[[GEO.id2]:[MOE - 400% FPL and over - 65 years and over - No health insurance]],17,0),VLOOKUP(A24,BaseTable[[GEO.id2]:[MOE - 400% FPL and over - 65 years and over - No health insurance]],57,0),VLOOKUP(A24,BaseTable[[GEO.id2]:[MOE - 400% FPL and over - 65 years and over - No health insurance]],37,0))</f>
        <v>2152</v>
      </c>
      <c r="M24">
        <f t="shared" si="4"/>
        <v>0.74206896551724133</v>
      </c>
      <c r="N24" s="73">
        <f t="shared" si="5"/>
        <v>1175.1893860117582</v>
      </c>
    </row>
    <row r="25" spans="1:14" x14ac:dyDescent="0.3">
      <c r="A25">
        <v>20710</v>
      </c>
      <c r="B25" t="str">
        <f>VLOOKUP(A25,UninsuredTable[],3,0)</f>
        <v>Prince Georges</v>
      </c>
      <c r="C25">
        <f>VLOOKUP(A25,UninsuredTable[],4,0)</f>
        <v>9732</v>
      </c>
      <c r="D25">
        <f>VLOOKUP(A25,UninsuredTable[],5,0)</f>
        <v>1736</v>
      </c>
      <c r="E25" s="73">
        <v>756.72433351008442</v>
      </c>
      <c r="F25">
        <f>SUM(VLOOKUP(A25,BaseTable[[GEO.id2]:[MOE - 400% FPL and over - 65 years and over - No health insurance]],11,0),VLOOKUP(A25,BaseTable[[GEO.id2]:[MOE - 400% FPL and over - 65 years and over - No health insurance]],31,0),VLOOKUP(A25,BaseTable[[GEO.id2]:[MOE - 400% FPL and over - 65 years and over - No health insurance]],51,0))</f>
        <v>233</v>
      </c>
      <c r="G25">
        <f t="shared" si="0"/>
        <v>0.13421658986175114</v>
      </c>
      <c r="H25" s="73">
        <f t="shared" si="1"/>
        <v>101.56495950912999</v>
      </c>
      <c r="I25">
        <f>SUM(VLOOKUP(A25,BaseTable[[GEO.id2]:[MOE - 400% FPL and over - 65 years and over - No health insurance]],77,0),VLOOKUP(A25,BaseTable[[GEO.id2]:[MOE - 400% FPL and over - 65 years and over - No health insurance]],71,0))</f>
        <v>178</v>
      </c>
      <c r="J25">
        <f t="shared" si="2"/>
        <v>0.10253456221198157</v>
      </c>
      <c r="K25" s="73">
        <f t="shared" si="3"/>
        <v>77.59039825161004</v>
      </c>
      <c r="L25">
        <f>SUM(VLOOKUP(A25,BaseTable[[GEO.id2]:[MOE - 400% FPL and over - 65 years and over - No health insurance]],17,0),VLOOKUP(A25,BaseTable[[GEO.id2]:[MOE - 400% FPL and over - 65 years and over - No health insurance]],57,0),VLOOKUP(A25,BaseTable[[GEO.id2]:[MOE - 400% FPL and over - 65 years and over - No health insurance]],37,0))</f>
        <v>1308</v>
      </c>
      <c r="M25">
        <f t="shared" si="4"/>
        <v>0.75345622119815669</v>
      </c>
      <c r="N25" s="73">
        <f t="shared" si="5"/>
        <v>570.15865681520188</v>
      </c>
    </row>
    <row r="26" spans="1:14" x14ac:dyDescent="0.3">
      <c r="A26">
        <v>20711</v>
      </c>
      <c r="B26" t="str">
        <f>VLOOKUP(A26,UninsuredTable[],3,0)</f>
        <v>Anne Arundel</v>
      </c>
      <c r="C26">
        <f>VLOOKUP(A26,UninsuredTable[],4,0)</f>
        <v>6921</v>
      </c>
      <c r="D26">
        <f>VLOOKUP(A26,UninsuredTable[],5,0)</f>
        <v>253</v>
      </c>
      <c r="E26" s="73">
        <v>253</v>
      </c>
      <c r="F26">
        <f>SUM(VLOOKUP(A26,BaseTable[[GEO.id2]:[MOE - 400% FPL and over - 65 years and over - No health insurance]],11,0),VLOOKUP(A26,BaseTable[[GEO.id2]:[MOE - 400% FPL and over - 65 years and over - No health insurance]],31,0),VLOOKUP(A26,BaseTable[[GEO.id2]:[MOE - 400% FPL and over - 65 years and over - No health insurance]],51,0))</f>
        <v>23</v>
      </c>
      <c r="G26">
        <f t="shared" si="0"/>
        <v>9.0909090909090912E-2</v>
      </c>
      <c r="H26" s="73">
        <f t="shared" si="1"/>
        <v>23</v>
      </c>
      <c r="I26">
        <f>SUM(VLOOKUP(A26,BaseTable[[GEO.id2]:[MOE - 400% FPL and over - 65 years and over - No health insurance]],77,0),VLOOKUP(A26,BaseTable[[GEO.id2]:[MOE - 400% FPL and over - 65 years and over - No health insurance]],71,0))</f>
        <v>39</v>
      </c>
      <c r="J26">
        <f t="shared" si="2"/>
        <v>0.1541501976284585</v>
      </c>
      <c r="K26" s="73">
        <f t="shared" si="3"/>
        <v>39</v>
      </c>
      <c r="L26">
        <f>SUM(VLOOKUP(A26,BaseTable[[GEO.id2]:[MOE - 400% FPL and over - 65 years and over - No health insurance]],17,0),VLOOKUP(A26,BaseTable[[GEO.id2]:[MOE - 400% FPL and over - 65 years and over - No health insurance]],57,0),VLOOKUP(A26,BaseTable[[GEO.id2]:[MOE - 400% FPL and over - 65 years and over - No health insurance]],37,0))</f>
        <v>191</v>
      </c>
      <c r="M26">
        <f t="shared" si="4"/>
        <v>0.75494071146245056</v>
      </c>
      <c r="N26" s="73">
        <f t="shared" si="5"/>
        <v>191</v>
      </c>
    </row>
    <row r="27" spans="1:14" x14ac:dyDescent="0.3">
      <c r="A27">
        <v>20712</v>
      </c>
      <c r="B27" t="str">
        <f>VLOOKUP(A27,UninsuredTable[],3,0)</f>
        <v>Prince Georges</v>
      </c>
      <c r="C27">
        <f>VLOOKUP(A27,UninsuredTable[],4,0)</f>
        <v>9278</v>
      </c>
      <c r="D27">
        <f>VLOOKUP(A27,UninsuredTable[],5,0)</f>
        <v>1731</v>
      </c>
      <c r="E27" s="73">
        <v>673.16012240543296</v>
      </c>
      <c r="F27">
        <f>SUM(VLOOKUP(A27,BaseTable[[GEO.id2]:[MOE - 400% FPL and over - 65 years and over - No health insurance]],11,0),VLOOKUP(A27,BaseTable[[GEO.id2]:[MOE - 400% FPL and over - 65 years and over - No health insurance]],31,0),VLOOKUP(A27,BaseTable[[GEO.id2]:[MOE - 400% FPL and over - 65 years and over - No health insurance]],51,0))</f>
        <v>119</v>
      </c>
      <c r="G27">
        <f t="shared" si="0"/>
        <v>6.874638937030618E-2</v>
      </c>
      <c r="H27" s="73">
        <f t="shared" si="1"/>
        <v>46.277327883446866</v>
      </c>
      <c r="I27">
        <f>SUM(VLOOKUP(A27,BaseTable[[GEO.id2]:[MOE - 400% FPL and over - 65 years and over - No health insurance]],77,0),VLOOKUP(A27,BaseTable[[GEO.id2]:[MOE - 400% FPL and over - 65 years and over - No health insurance]],71,0))</f>
        <v>165</v>
      </c>
      <c r="J27">
        <f t="shared" si="2"/>
        <v>9.5320623916811092E-2</v>
      </c>
      <c r="K27" s="73">
        <f t="shared" si="3"/>
        <v>64.166042863602797</v>
      </c>
      <c r="L27">
        <f>SUM(VLOOKUP(A27,BaseTable[[GEO.id2]:[MOE - 400% FPL and over - 65 years and over - No health insurance]],17,0),VLOOKUP(A27,BaseTable[[GEO.id2]:[MOE - 400% FPL and over - 65 years and over - No health insurance]],57,0),VLOOKUP(A27,BaseTable[[GEO.id2]:[MOE - 400% FPL and over - 65 years and over - No health insurance]],37,0))</f>
        <v>1447</v>
      </c>
      <c r="M27">
        <f t="shared" si="4"/>
        <v>0.83593298671288274</v>
      </c>
      <c r="N27" s="73">
        <f t="shared" si="5"/>
        <v>562.71675165838326</v>
      </c>
    </row>
    <row r="28" spans="1:14" x14ac:dyDescent="0.3">
      <c r="A28">
        <v>20715</v>
      </c>
      <c r="B28" t="str">
        <f>VLOOKUP(A28,UninsuredTable[],3,0)</f>
        <v>Prince Georges</v>
      </c>
      <c r="C28">
        <f>VLOOKUP(A28,UninsuredTable[],4,0)</f>
        <v>24746</v>
      </c>
      <c r="D28">
        <f>VLOOKUP(A28,UninsuredTable[],5,0)</f>
        <v>1254</v>
      </c>
      <c r="E28" s="73">
        <v>835.97800790907752</v>
      </c>
      <c r="F28">
        <f>SUM(VLOOKUP(A28,BaseTable[[GEO.id2]:[MOE - 400% FPL and over - 65 years and over - No health insurance]],11,0),VLOOKUP(A28,BaseTable[[GEO.id2]:[MOE - 400% FPL and over - 65 years and over - No health insurance]],31,0),VLOOKUP(A28,BaseTable[[GEO.id2]:[MOE - 400% FPL and over - 65 years and over - No health insurance]],51,0))</f>
        <v>133</v>
      </c>
      <c r="G28">
        <f t="shared" si="0"/>
        <v>0.10606060606060606</v>
      </c>
      <c r="H28" s="73">
        <f t="shared" si="1"/>
        <v>88.66433417217489</v>
      </c>
      <c r="I28">
        <f>SUM(VLOOKUP(A28,BaseTable[[GEO.id2]:[MOE - 400% FPL and over - 65 years and over - No health insurance]],77,0),VLOOKUP(A28,BaseTable[[GEO.id2]:[MOE - 400% FPL and over - 65 years and over - No health insurance]],71,0))</f>
        <v>459</v>
      </c>
      <c r="J28">
        <f t="shared" si="2"/>
        <v>0.36602870813397131</v>
      </c>
      <c r="K28" s="73">
        <f t="shared" si="3"/>
        <v>305.99195026337048</v>
      </c>
      <c r="L28">
        <f>SUM(VLOOKUP(A28,BaseTable[[GEO.id2]:[MOE - 400% FPL and over - 65 years and over - No health insurance]],17,0),VLOOKUP(A28,BaseTable[[GEO.id2]:[MOE - 400% FPL and over - 65 years and over - No health insurance]],57,0),VLOOKUP(A28,BaseTable[[GEO.id2]:[MOE - 400% FPL and over - 65 years and over - No health insurance]],37,0))</f>
        <v>648</v>
      </c>
      <c r="M28">
        <f t="shared" si="4"/>
        <v>0.51674641148325362</v>
      </c>
      <c r="N28" s="73">
        <f t="shared" si="5"/>
        <v>431.98863566593479</v>
      </c>
    </row>
    <row r="29" spans="1:14" x14ac:dyDescent="0.3">
      <c r="A29">
        <v>20716</v>
      </c>
      <c r="B29" t="str">
        <f>VLOOKUP(A29,UninsuredTable[],3,0)</f>
        <v>Prince Georges</v>
      </c>
      <c r="C29">
        <f>VLOOKUP(A29,UninsuredTable[],4,0)</f>
        <v>21910</v>
      </c>
      <c r="D29">
        <f>VLOOKUP(A29,UninsuredTable[],5,0)</f>
        <v>1281</v>
      </c>
      <c r="E29" s="73">
        <v>689.56086092672922</v>
      </c>
      <c r="F29">
        <f>SUM(VLOOKUP(A29,BaseTable[[GEO.id2]:[MOE - 400% FPL and over - 65 years and over - No health insurance]],11,0),VLOOKUP(A29,BaseTable[[GEO.id2]:[MOE - 400% FPL and over - 65 years and over - No health insurance]],31,0),VLOOKUP(A29,BaseTable[[GEO.id2]:[MOE - 400% FPL and over - 65 years and over - No health insurance]],51,0))</f>
        <v>75</v>
      </c>
      <c r="G29">
        <f t="shared" si="0"/>
        <v>5.8548009367681501E-2</v>
      </c>
      <c r="H29" s="73">
        <f t="shared" si="1"/>
        <v>40.372415745124663</v>
      </c>
      <c r="I29">
        <f>SUM(VLOOKUP(A29,BaseTable[[GEO.id2]:[MOE - 400% FPL and over - 65 years and over - No health insurance]],77,0),VLOOKUP(A29,BaseTable[[GEO.id2]:[MOE - 400% FPL and over - 65 years and over - No health insurance]],71,0))</f>
        <v>520</v>
      </c>
      <c r="J29">
        <f t="shared" si="2"/>
        <v>0.4059328649492584</v>
      </c>
      <c r="K29" s="73">
        <f t="shared" si="3"/>
        <v>279.91541583286431</v>
      </c>
      <c r="L29">
        <f>SUM(VLOOKUP(A29,BaseTable[[GEO.id2]:[MOE - 400% FPL and over - 65 years and over - No health insurance]],17,0),VLOOKUP(A29,BaseTable[[GEO.id2]:[MOE - 400% FPL and over - 65 years and over - No health insurance]],57,0),VLOOKUP(A29,BaseTable[[GEO.id2]:[MOE - 400% FPL and over - 65 years and over - No health insurance]],37,0))</f>
        <v>563</v>
      </c>
      <c r="M29">
        <f t="shared" si="4"/>
        <v>0.43950039032006244</v>
      </c>
      <c r="N29" s="73">
        <f t="shared" si="5"/>
        <v>303.06226752673581</v>
      </c>
    </row>
    <row r="30" spans="1:14" x14ac:dyDescent="0.3">
      <c r="A30">
        <v>20720</v>
      </c>
      <c r="B30" t="str">
        <f>VLOOKUP(A30,UninsuredTable[],3,0)</f>
        <v>Prince Georges</v>
      </c>
      <c r="C30">
        <f>VLOOKUP(A30,UninsuredTable[],4,0)</f>
        <v>22582</v>
      </c>
      <c r="D30">
        <f>VLOOKUP(A30,UninsuredTable[],5,0)</f>
        <v>883</v>
      </c>
      <c r="E30" s="73">
        <v>841</v>
      </c>
      <c r="F30">
        <f>SUM(VLOOKUP(A30,BaseTable[[GEO.id2]:[MOE - 400% FPL and over - 65 years and over - No health insurance]],11,0),VLOOKUP(A30,BaseTable[[GEO.id2]:[MOE - 400% FPL and over - 65 years and over - No health insurance]],31,0),VLOOKUP(A30,BaseTable[[GEO.id2]:[MOE - 400% FPL and over - 65 years and over - No health insurance]],51,0))</f>
        <v>127</v>
      </c>
      <c r="G30">
        <f t="shared" si="0"/>
        <v>0.14382785956964891</v>
      </c>
      <c r="H30" s="73">
        <f t="shared" si="1"/>
        <v>120.95922989807474</v>
      </c>
      <c r="I30">
        <f>SUM(VLOOKUP(A30,BaseTable[[GEO.id2]:[MOE - 400% FPL and over - 65 years and over - No health insurance]],77,0),VLOOKUP(A30,BaseTable[[GEO.id2]:[MOE - 400% FPL and over - 65 years and over - No health insurance]],71,0))</f>
        <v>274</v>
      </c>
      <c r="J30">
        <f t="shared" si="2"/>
        <v>0.31030577576443941</v>
      </c>
      <c r="K30" s="73">
        <f t="shared" si="3"/>
        <v>260.96715741789353</v>
      </c>
      <c r="L30">
        <f>SUM(VLOOKUP(A30,BaseTable[[GEO.id2]:[MOE - 400% FPL and over - 65 years and over - No health insurance]],17,0),VLOOKUP(A30,BaseTable[[GEO.id2]:[MOE - 400% FPL and over - 65 years and over - No health insurance]],57,0),VLOOKUP(A30,BaseTable[[GEO.id2]:[MOE - 400% FPL and over - 65 years and over - No health insurance]],37,0))</f>
        <v>440</v>
      </c>
      <c r="M30">
        <f t="shared" si="4"/>
        <v>0.49830124575311441</v>
      </c>
      <c r="N30" s="73">
        <f t="shared" si="5"/>
        <v>419.07134767836919</v>
      </c>
    </row>
    <row r="31" spans="1:14" x14ac:dyDescent="0.3">
      <c r="A31">
        <v>20721</v>
      </c>
      <c r="B31" t="str">
        <f>VLOOKUP(A31,UninsuredTable[],3,0)</f>
        <v>Prince Georges</v>
      </c>
      <c r="C31">
        <f>VLOOKUP(A31,UninsuredTable[],4,0)</f>
        <v>29809</v>
      </c>
      <c r="D31">
        <f>VLOOKUP(A31,UninsuredTable[],5,0)</f>
        <v>1175</v>
      </c>
      <c r="E31" s="73">
        <v>755.09431734694545</v>
      </c>
      <c r="F31">
        <f>SUM(VLOOKUP(A31,BaseTable[[GEO.id2]:[MOE - 400% FPL and over - 65 years and over - No health insurance]],11,0),VLOOKUP(A31,BaseTable[[GEO.id2]:[MOE - 400% FPL and over - 65 years and over - No health insurance]],31,0),VLOOKUP(A31,BaseTable[[GEO.id2]:[MOE - 400% FPL and over - 65 years and over - No health insurance]],51,0))</f>
        <v>54</v>
      </c>
      <c r="G31">
        <f t="shared" si="0"/>
        <v>4.5957446808510639E-2</v>
      </c>
      <c r="H31" s="73">
        <f t="shared" si="1"/>
        <v>34.702206924880898</v>
      </c>
      <c r="I31">
        <f>SUM(VLOOKUP(A31,BaseTable[[GEO.id2]:[MOE - 400% FPL and over - 65 years and over - No health insurance]],77,0),VLOOKUP(A31,BaseTable[[GEO.id2]:[MOE - 400% FPL and over - 65 years and over - No health insurance]],71,0))</f>
        <v>515</v>
      </c>
      <c r="J31">
        <f t="shared" si="2"/>
        <v>0.43829787234042555</v>
      </c>
      <c r="K31" s="73">
        <f t="shared" si="3"/>
        <v>330.95623270951228</v>
      </c>
      <c r="L31">
        <f>SUM(VLOOKUP(A31,BaseTable[[GEO.id2]:[MOE - 400% FPL and over - 65 years and over - No health insurance]],17,0),VLOOKUP(A31,BaseTable[[GEO.id2]:[MOE - 400% FPL and over - 65 years and over - No health insurance]],57,0),VLOOKUP(A31,BaseTable[[GEO.id2]:[MOE - 400% FPL and over - 65 years and over - No health insurance]],37,0))</f>
        <v>572</v>
      </c>
      <c r="M31">
        <f t="shared" si="4"/>
        <v>0.48680851063829789</v>
      </c>
      <c r="N31" s="73">
        <f t="shared" si="5"/>
        <v>367.58634001910877</v>
      </c>
    </row>
    <row r="32" spans="1:14" x14ac:dyDescent="0.3">
      <c r="A32">
        <v>20722</v>
      </c>
      <c r="B32" t="str">
        <f>VLOOKUP(A32,UninsuredTable[],3,0)</f>
        <v>Prince Georges</v>
      </c>
      <c r="C32">
        <f>VLOOKUP(A32,UninsuredTable[],4,0)</f>
        <v>5932</v>
      </c>
      <c r="D32">
        <f>VLOOKUP(A32,UninsuredTable[],5,0)</f>
        <v>1194</v>
      </c>
      <c r="E32" s="73">
        <v>537.12041602514546</v>
      </c>
      <c r="F32">
        <f>SUM(VLOOKUP(A32,BaseTable[[GEO.id2]:[MOE - 400% FPL and over - 65 years and over - No health insurance]],11,0),VLOOKUP(A32,BaseTable[[GEO.id2]:[MOE - 400% FPL and over - 65 years and over - No health insurance]],31,0),VLOOKUP(A32,BaseTable[[GEO.id2]:[MOE - 400% FPL and over - 65 years and over - No health insurance]],51,0))</f>
        <v>115</v>
      </c>
      <c r="G32">
        <f t="shared" si="0"/>
        <v>9.6314907872696823E-2</v>
      </c>
      <c r="H32" s="73">
        <f t="shared" si="1"/>
        <v>51.732703386006477</v>
      </c>
      <c r="I32">
        <f>SUM(VLOOKUP(A32,BaseTable[[GEO.id2]:[MOE - 400% FPL and over - 65 years and over - No health insurance]],77,0),VLOOKUP(A32,BaseTable[[GEO.id2]:[MOE - 400% FPL and over - 65 years and over - No health insurance]],71,0))</f>
        <v>331</v>
      </c>
      <c r="J32">
        <f t="shared" si="2"/>
        <v>0.27721943048576214</v>
      </c>
      <c r="K32" s="73">
        <f t="shared" si="3"/>
        <v>148.90021583276646</v>
      </c>
      <c r="L32">
        <f>SUM(VLOOKUP(A32,BaseTable[[GEO.id2]:[MOE - 400% FPL and over - 65 years and over - No health insurance]],17,0),VLOOKUP(A32,BaseTable[[GEO.id2]:[MOE - 400% FPL and over - 65 years and over - No health insurance]],57,0),VLOOKUP(A32,BaseTable[[GEO.id2]:[MOE - 400% FPL and over - 65 years and over - No health insurance]],37,0))</f>
        <v>727</v>
      </c>
      <c r="M32">
        <f t="shared" si="4"/>
        <v>0.60887772194304857</v>
      </c>
      <c r="N32" s="73">
        <f t="shared" si="5"/>
        <v>327.04065531849307</v>
      </c>
    </row>
    <row r="33" spans="1:14" x14ac:dyDescent="0.3">
      <c r="A33">
        <v>20723</v>
      </c>
      <c r="B33" t="str">
        <f>VLOOKUP(A33,UninsuredTable[],3,0)</f>
        <v>Howard</v>
      </c>
      <c r="C33">
        <f>VLOOKUP(A33,UninsuredTable[],4,0)</f>
        <v>34110</v>
      </c>
      <c r="D33">
        <f>VLOOKUP(A33,UninsuredTable[],5,0)</f>
        <v>2911</v>
      </c>
      <c r="E33" s="73">
        <v>1692.5150125535847</v>
      </c>
      <c r="F33">
        <f>SUM(VLOOKUP(A33,BaseTable[[GEO.id2]:[MOE - 400% FPL and over - 65 years and over - No health insurance]],11,0),VLOOKUP(A33,BaseTable[[GEO.id2]:[MOE - 400% FPL and over - 65 years and over - No health insurance]],31,0),VLOOKUP(A33,BaseTable[[GEO.id2]:[MOE - 400% FPL and over - 65 years and over - No health insurance]],51,0))</f>
        <v>213</v>
      </c>
      <c r="G33">
        <f t="shared" si="0"/>
        <v>7.3170731707317069E-2</v>
      </c>
      <c r="H33" s="73">
        <f t="shared" si="1"/>
        <v>123.84256189416473</v>
      </c>
      <c r="I33">
        <f>SUM(VLOOKUP(A33,BaseTable[[GEO.id2]:[MOE - 400% FPL and over - 65 years and over - No health insurance]],77,0),VLOOKUP(A33,BaseTable[[GEO.id2]:[MOE - 400% FPL and over - 65 years and over - No health insurance]],71,0))</f>
        <v>1149</v>
      </c>
      <c r="J33">
        <f t="shared" si="2"/>
        <v>0.39470972174510477</v>
      </c>
      <c r="K33" s="73">
        <f t="shared" si="3"/>
        <v>668.05212965443798</v>
      </c>
      <c r="L33">
        <f>SUM(VLOOKUP(A33,BaseTable[[GEO.id2]:[MOE - 400% FPL and over - 65 years and over - No health insurance]],17,0),VLOOKUP(A33,BaseTable[[GEO.id2]:[MOE - 400% FPL and over - 65 years and over - No health insurance]],57,0),VLOOKUP(A33,BaseTable[[GEO.id2]:[MOE - 400% FPL and over - 65 years and over - No health insurance]],37,0))</f>
        <v>1418</v>
      </c>
      <c r="M33">
        <f t="shared" si="4"/>
        <v>0.48711782892476813</v>
      </c>
      <c r="N33" s="73">
        <f t="shared" si="5"/>
        <v>824.45423833767882</v>
      </c>
    </row>
    <row r="34" spans="1:14" x14ac:dyDescent="0.3">
      <c r="A34">
        <v>20724</v>
      </c>
      <c r="B34" t="str">
        <f>VLOOKUP(A34,UninsuredTable[],3,0)</f>
        <v>Anne Arundel</v>
      </c>
      <c r="C34">
        <f>VLOOKUP(A34,UninsuredTable[],4,0)</f>
        <v>17473</v>
      </c>
      <c r="D34">
        <f>VLOOKUP(A34,UninsuredTable[],5,0)</f>
        <v>1374</v>
      </c>
      <c r="E34" s="73">
        <v>692.87176689303578</v>
      </c>
      <c r="F34">
        <f>SUM(VLOOKUP(A34,BaseTable[[GEO.id2]:[MOE - 400% FPL and over - 65 years and over - No health insurance]],11,0),VLOOKUP(A34,BaseTable[[GEO.id2]:[MOE - 400% FPL and over - 65 years and over - No health insurance]],31,0),VLOOKUP(A34,BaseTable[[GEO.id2]:[MOE - 400% FPL and over - 65 years and over - No health insurance]],51,0))</f>
        <v>104</v>
      </c>
      <c r="G34">
        <f t="shared" si="0"/>
        <v>7.5691411935953426E-2</v>
      </c>
      <c r="H34" s="73">
        <f t="shared" si="1"/>
        <v>52.444442326692666</v>
      </c>
      <c r="I34">
        <f>SUM(VLOOKUP(A34,BaseTable[[GEO.id2]:[MOE - 400% FPL and over - 65 years and over - No health insurance]],77,0),VLOOKUP(A34,BaseTable[[GEO.id2]:[MOE - 400% FPL and over - 65 years and over - No health insurance]],71,0))</f>
        <v>665</v>
      </c>
      <c r="J34">
        <f t="shared" si="2"/>
        <v>0.48398835516739447</v>
      </c>
      <c r="K34" s="73">
        <f t="shared" si="3"/>
        <v>335.34186680048674</v>
      </c>
      <c r="L34">
        <f>SUM(VLOOKUP(A34,BaseTable[[GEO.id2]:[MOE - 400% FPL and over - 65 years and over - No health insurance]],17,0),VLOOKUP(A34,BaseTable[[GEO.id2]:[MOE - 400% FPL and over - 65 years and over - No health insurance]],57,0),VLOOKUP(A34,BaseTable[[GEO.id2]:[MOE - 400% FPL and over - 65 years and over - No health insurance]],37,0))</f>
        <v>558</v>
      </c>
      <c r="M34">
        <f t="shared" si="4"/>
        <v>0.40611353711790393</v>
      </c>
      <c r="N34" s="73">
        <f t="shared" si="5"/>
        <v>281.38460402206255</v>
      </c>
    </row>
    <row r="35" spans="1:14" x14ac:dyDescent="0.3">
      <c r="A35">
        <v>20732</v>
      </c>
      <c r="B35" t="str">
        <f>VLOOKUP(A35,UninsuredTable[],3,0)</f>
        <v>Calvert</v>
      </c>
      <c r="C35">
        <f>VLOOKUP(A35,UninsuredTable[],4,0)</f>
        <v>9815</v>
      </c>
      <c r="D35">
        <f>VLOOKUP(A35,UninsuredTable[],5,0)</f>
        <v>489</v>
      </c>
      <c r="E35" s="73">
        <v>489</v>
      </c>
      <c r="F35">
        <f>SUM(VLOOKUP(A35,BaseTable[[GEO.id2]:[MOE - 400% FPL and over - 65 years and over - No health insurance]],11,0),VLOOKUP(A35,BaseTable[[GEO.id2]:[MOE - 400% FPL and over - 65 years and over - No health insurance]],31,0),VLOOKUP(A35,BaseTable[[GEO.id2]:[MOE - 400% FPL and over - 65 years and over - No health insurance]],51,0))</f>
        <v>105</v>
      </c>
      <c r="G35">
        <f t="shared" si="0"/>
        <v>0.21472392638036811</v>
      </c>
      <c r="H35" s="73">
        <f t="shared" si="1"/>
        <v>105</v>
      </c>
      <c r="I35">
        <f>SUM(VLOOKUP(A35,BaseTable[[GEO.id2]:[MOE - 400% FPL and over - 65 years and over - No health insurance]],77,0),VLOOKUP(A35,BaseTable[[GEO.id2]:[MOE - 400% FPL and over - 65 years and over - No health insurance]],71,0))</f>
        <v>93</v>
      </c>
      <c r="J35">
        <f t="shared" si="2"/>
        <v>0.19018404907975461</v>
      </c>
      <c r="K35" s="73">
        <f t="shared" si="3"/>
        <v>93</v>
      </c>
      <c r="L35">
        <f>SUM(VLOOKUP(A35,BaseTable[[GEO.id2]:[MOE - 400% FPL and over - 65 years and over - No health insurance]],17,0),VLOOKUP(A35,BaseTable[[GEO.id2]:[MOE - 400% FPL and over - 65 years and over - No health insurance]],57,0),VLOOKUP(A35,BaseTable[[GEO.id2]:[MOE - 400% FPL and over - 65 years and over - No health insurance]],37,0))</f>
        <v>291</v>
      </c>
      <c r="M35">
        <f t="shared" si="4"/>
        <v>0.59509202453987731</v>
      </c>
      <c r="N35" s="73">
        <f t="shared" si="5"/>
        <v>291</v>
      </c>
    </row>
    <row r="36" spans="1:14" x14ac:dyDescent="0.3">
      <c r="A36">
        <v>20735</v>
      </c>
      <c r="B36" t="str">
        <f>VLOOKUP(A36,UninsuredTable[],3,0)</f>
        <v>Prince Georges</v>
      </c>
      <c r="C36">
        <f>VLOOKUP(A36,UninsuredTable[],4,0)</f>
        <v>37578</v>
      </c>
      <c r="D36">
        <f>VLOOKUP(A36,UninsuredTable[],5,0)</f>
        <v>2317</v>
      </c>
      <c r="E36" s="73">
        <v>1678.8678494080971</v>
      </c>
      <c r="F36">
        <f>SUM(VLOOKUP(A36,BaseTable[[GEO.id2]:[MOE - 400% FPL and over - 65 years and over - No health insurance]],11,0),VLOOKUP(A36,BaseTable[[GEO.id2]:[MOE - 400% FPL and over - 65 years and over - No health insurance]],31,0),VLOOKUP(A36,BaseTable[[GEO.id2]:[MOE - 400% FPL and over - 65 years and over - No health insurance]],51,0))</f>
        <v>288</v>
      </c>
      <c r="G36">
        <f t="shared" si="0"/>
        <v>0.12429866206301252</v>
      </c>
      <c r="H36" s="73">
        <f t="shared" si="1"/>
        <v>208.68102746203365</v>
      </c>
      <c r="I36">
        <f>SUM(VLOOKUP(A36,BaseTable[[GEO.id2]:[MOE - 400% FPL and over - 65 years and over - No health insurance]],77,0),VLOOKUP(A36,BaseTable[[GEO.id2]:[MOE - 400% FPL and over - 65 years and over - No health insurance]],71,0))</f>
        <v>972</v>
      </c>
      <c r="J36">
        <f t="shared" si="2"/>
        <v>0.41950798446266724</v>
      </c>
      <c r="K36" s="73">
        <f t="shared" si="3"/>
        <v>704.29846768436357</v>
      </c>
      <c r="L36">
        <f>SUM(VLOOKUP(A36,BaseTable[[GEO.id2]:[MOE - 400% FPL and over - 65 years and over - No health insurance]],17,0),VLOOKUP(A36,BaseTable[[GEO.id2]:[MOE - 400% FPL and over - 65 years and over - No health insurance]],57,0),VLOOKUP(A36,BaseTable[[GEO.id2]:[MOE - 400% FPL and over - 65 years and over - No health insurance]],37,0))</f>
        <v>1028</v>
      </c>
      <c r="M36">
        <f t="shared" si="4"/>
        <v>0.44367716875269747</v>
      </c>
      <c r="N36" s="73">
        <f t="shared" si="5"/>
        <v>744.87533413531457</v>
      </c>
    </row>
    <row r="37" spans="1:14" x14ac:dyDescent="0.3">
      <c r="A37">
        <v>20737</v>
      </c>
      <c r="B37" t="str">
        <f>VLOOKUP(A37,UninsuredTable[],3,0)</f>
        <v>Prince Georges</v>
      </c>
      <c r="C37">
        <f>VLOOKUP(A37,UninsuredTable[],4,0)</f>
        <v>21912</v>
      </c>
      <c r="D37">
        <f>VLOOKUP(A37,UninsuredTable[],5,0)</f>
        <v>5805</v>
      </c>
      <c r="E37" s="73">
        <v>2151.8548358451148</v>
      </c>
      <c r="F37">
        <f>SUM(VLOOKUP(A37,BaseTable[[GEO.id2]:[MOE - 400% FPL and over - 65 years and over - No health insurance]],11,0),VLOOKUP(A37,BaseTable[[GEO.id2]:[MOE - 400% FPL and over - 65 years and over - No health insurance]],31,0),VLOOKUP(A37,BaseTable[[GEO.id2]:[MOE - 400% FPL and over - 65 years and over - No health insurance]],51,0))</f>
        <v>498</v>
      </c>
      <c r="G37">
        <f t="shared" si="0"/>
        <v>8.5788113695090443E-2</v>
      </c>
      <c r="H37" s="73">
        <f t="shared" si="1"/>
        <v>184.6035673128109</v>
      </c>
      <c r="I37">
        <f>SUM(VLOOKUP(A37,BaseTable[[GEO.id2]:[MOE - 400% FPL and over - 65 years and over - No health insurance]],77,0),VLOOKUP(A37,BaseTable[[GEO.id2]:[MOE - 400% FPL and over - 65 years and over - No health insurance]],71,0))</f>
        <v>786</v>
      </c>
      <c r="J37">
        <f t="shared" si="2"/>
        <v>0.13540051679586562</v>
      </c>
      <c r="K37" s="73">
        <f t="shared" si="3"/>
        <v>291.36225684311114</v>
      </c>
      <c r="L37">
        <f>SUM(VLOOKUP(A37,BaseTable[[GEO.id2]:[MOE - 400% FPL and over - 65 years and over - No health insurance]],17,0),VLOOKUP(A37,BaseTable[[GEO.id2]:[MOE - 400% FPL and over - 65 years and over - No health insurance]],57,0),VLOOKUP(A37,BaseTable[[GEO.id2]:[MOE - 400% FPL and over - 65 years and over - No health insurance]],37,0))</f>
        <v>4454</v>
      </c>
      <c r="M37">
        <f t="shared" si="4"/>
        <v>0.76726959517657189</v>
      </c>
      <c r="N37" s="73">
        <f t="shared" si="5"/>
        <v>1651.0527887776298</v>
      </c>
    </row>
    <row r="38" spans="1:14" x14ac:dyDescent="0.3">
      <c r="A38">
        <v>20740</v>
      </c>
      <c r="B38" t="str">
        <f>VLOOKUP(A38,UninsuredTable[],3,0)</f>
        <v>Prince Georges</v>
      </c>
      <c r="C38">
        <f>VLOOKUP(A38,UninsuredTable[],4,0)</f>
        <v>27326</v>
      </c>
      <c r="D38">
        <f>VLOOKUP(A38,UninsuredTable[],5,0)</f>
        <v>2864</v>
      </c>
      <c r="E38" s="73">
        <v>1451.7448396143845</v>
      </c>
      <c r="F38">
        <f>SUM(VLOOKUP(A38,BaseTable[[GEO.id2]:[MOE - 400% FPL and over - 65 years and over - No health insurance]],11,0),VLOOKUP(A38,BaseTable[[GEO.id2]:[MOE - 400% FPL and over - 65 years and over - No health insurance]],31,0),VLOOKUP(A38,BaseTable[[GEO.id2]:[MOE - 400% FPL and over - 65 years and over - No health insurance]],51,0))</f>
        <v>220</v>
      </c>
      <c r="G38">
        <f t="shared" si="0"/>
        <v>7.6815642458100561E-2</v>
      </c>
      <c r="H38" s="73">
        <f t="shared" si="1"/>
        <v>111.5167125402111</v>
      </c>
      <c r="I38">
        <f>SUM(VLOOKUP(A38,BaseTable[[GEO.id2]:[MOE - 400% FPL and over - 65 years and over - No health insurance]],77,0),VLOOKUP(A38,BaseTable[[GEO.id2]:[MOE - 400% FPL and over - 65 years and over - No health insurance]],71,0))</f>
        <v>339</v>
      </c>
      <c r="J38">
        <f t="shared" si="2"/>
        <v>0.11836592178770949</v>
      </c>
      <c r="K38" s="73">
        <f t="shared" si="3"/>
        <v>171.8371161415071</v>
      </c>
      <c r="L38">
        <f>SUM(VLOOKUP(A38,BaseTable[[GEO.id2]:[MOE - 400% FPL and over - 65 years and over - No health insurance]],17,0),VLOOKUP(A38,BaseTable[[GEO.id2]:[MOE - 400% FPL and over - 65 years and over - No health insurance]],57,0),VLOOKUP(A38,BaseTable[[GEO.id2]:[MOE - 400% FPL and over - 65 years and over - No health insurance]],37,0))</f>
        <v>2268</v>
      </c>
      <c r="M38">
        <f t="shared" si="4"/>
        <v>0.79189944134078216</v>
      </c>
      <c r="N38" s="73">
        <f t="shared" si="5"/>
        <v>1149.6359274599945</v>
      </c>
    </row>
    <row r="39" spans="1:14" x14ac:dyDescent="0.3">
      <c r="A39">
        <v>20743</v>
      </c>
      <c r="B39" t="str">
        <f>VLOOKUP(A39,UninsuredTable[],3,0)</f>
        <v>Prince Georges</v>
      </c>
      <c r="C39">
        <f>VLOOKUP(A39,UninsuredTable[],4,0)</f>
        <v>39863</v>
      </c>
      <c r="D39">
        <f>VLOOKUP(A39,UninsuredTable[],5,0)</f>
        <v>4246</v>
      </c>
      <c r="E39" s="73">
        <v>2709.1034581451363</v>
      </c>
      <c r="F39">
        <f>SUM(VLOOKUP(A39,BaseTable[[GEO.id2]:[MOE - 400% FPL and over - 65 years and over - No health insurance]],11,0),VLOOKUP(A39,BaseTable[[GEO.id2]:[MOE - 400% FPL and over - 65 years and over - No health insurance]],31,0),VLOOKUP(A39,BaseTable[[GEO.id2]:[MOE - 400% FPL and over - 65 years and over - No health insurance]],51,0))</f>
        <v>403</v>
      </c>
      <c r="G39">
        <f t="shared" si="0"/>
        <v>9.491285916156382E-2</v>
      </c>
      <c r="H39" s="73">
        <f t="shared" si="1"/>
        <v>257.12875497703482</v>
      </c>
      <c r="I39">
        <f>SUM(VLOOKUP(A39,BaseTable[[GEO.id2]:[MOE - 400% FPL and over - 65 years and over - No health insurance]],77,0),VLOOKUP(A39,BaseTable[[GEO.id2]:[MOE - 400% FPL and over - 65 years and over - No health insurance]],71,0))</f>
        <v>860</v>
      </c>
      <c r="J39">
        <f t="shared" si="2"/>
        <v>0.20254357041921808</v>
      </c>
      <c r="K39" s="73">
        <f t="shared" si="3"/>
        <v>548.7114870477667</v>
      </c>
      <c r="L39">
        <f>SUM(VLOOKUP(A39,BaseTable[[GEO.id2]:[MOE - 400% FPL and over - 65 years and over - No health insurance]],17,0),VLOOKUP(A39,BaseTable[[GEO.id2]:[MOE - 400% FPL and over - 65 years and over - No health insurance]],57,0),VLOOKUP(A39,BaseTable[[GEO.id2]:[MOE - 400% FPL and over - 65 years and over - No health insurance]],37,0))</f>
        <v>2954</v>
      </c>
      <c r="M39">
        <f t="shared" si="4"/>
        <v>0.69571361281205846</v>
      </c>
      <c r="N39" s="73">
        <f t="shared" si="5"/>
        <v>1884.760154347794</v>
      </c>
    </row>
    <row r="40" spans="1:14" x14ac:dyDescent="0.3">
      <c r="A40">
        <v>20744</v>
      </c>
      <c r="B40" t="str">
        <f>VLOOKUP(A40,UninsuredTable[],3,0)</f>
        <v>Prince Georges</v>
      </c>
      <c r="C40">
        <f>VLOOKUP(A40,UninsuredTable[],4,0)</f>
        <v>53694</v>
      </c>
      <c r="D40">
        <f>VLOOKUP(A40,UninsuredTable[],5,0)</f>
        <v>4981</v>
      </c>
      <c r="E40" s="73">
        <v>2881.2367344070431</v>
      </c>
      <c r="F40">
        <f>SUM(VLOOKUP(A40,BaseTable[[GEO.id2]:[MOE - 400% FPL and over - 65 years and over - No health insurance]],11,0),VLOOKUP(A40,BaseTable[[GEO.id2]:[MOE - 400% FPL and over - 65 years and over - No health insurance]],31,0),VLOOKUP(A40,BaseTable[[GEO.id2]:[MOE - 400% FPL and over - 65 years and over - No health insurance]],51,0))</f>
        <v>594</v>
      </c>
      <c r="G40">
        <f t="shared" si="0"/>
        <v>0.11925316201565951</v>
      </c>
      <c r="H40" s="73">
        <f t="shared" si="1"/>
        <v>343.59659109371285</v>
      </c>
      <c r="I40">
        <f>SUM(VLOOKUP(A40,BaseTable[[GEO.id2]:[MOE - 400% FPL and over - 65 years and over - No health insurance]],77,0),VLOOKUP(A40,BaseTable[[GEO.id2]:[MOE - 400% FPL and over - 65 years and over - No health insurance]],71,0))</f>
        <v>1285</v>
      </c>
      <c r="J40">
        <f t="shared" si="2"/>
        <v>0.25798032523589642</v>
      </c>
      <c r="K40" s="73">
        <f t="shared" si="3"/>
        <v>743.3023898239411</v>
      </c>
      <c r="L40">
        <f>SUM(VLOOKUP(A40,BaseTable[[GEO.id2]:[MOE - 400% FPL and over - 65 years and over - No health insurance]],17,0),VLOOKUP(A40,BaseTable[[GEO.id2]:[MOE - 400% FPL and over - 65 years and over - No health insurance]],57,0),VLOOKUP(A40,BaseTable[[GEO.id2]:[MOE - 400% FPL and over - 65 years and over - No health insurance]],37,0))</f>
        <v>2979</v>
      </c>
      <c r="M40">
        <f t="shared" si="4"/>
        <v>0.59807267616944393</v>
      </c>
      <c r="N40" s="73">
        <f t="shared" si="5"/>
        <v>1723.1889644245296</v>
      </c>
    </row>
    <row r="41" spans="1:14" x14ac:dyDescent="0.3">
      <c r="A41">
        <v>20745</v>
      </c>
      <c r="B41" t="str">
        <f>VLOOKUP(A41,UninsuredTable[],3,0)</f>
        <v>Prince Georges</v>
      </c>
      <c r="C41">
        <f>VLOOKUP(A41,UninsuredTable[],4,0)</f>
        <v>29342</v>
      </c>
      <c r="D41">
        <f>VLOOKUP(A41,UninsuredTable[],5,0)</f>
        <v>4675</v>
      </c>
      <c r="E41" s="73">
        <v>2321.2149314184594</v>
      </c>
      <c r="F41">
        <f>SUM(VLOOKUP(A41,BaseTable[[GEO.id2]:[MOE - 400% FPL and over - 65 years and over - No health insurance]],11,0),VLOOKUP(A41,BaseTable[[GEO.id2]:[MOE - 400% FPL and over - 65 years and over - No health insurance]],31,0),VLOOKUP(A41,BaseTable[[GEO.id2]:[MOE - 400% FPL and over - 65 years and over - No health insurance]],51,0))</f>
        <v>516</v>
      </c>
      <c r="G41">
        <f t="shared" si="0"/>
        <v>0.11037433155080213</v>
      </c>
      <c r="H41" s="73">
        <f t="shared" si="1"/>
        <v>256.20254644105347</v>
      </c>
      <c r="I41">
        <f>SUM(VLOOKUP(A41,BaseTable[[GEO.id2]:[MOE - 400% FPL and over - 65 years and over - No health insurance]],77,0),VLOOKUP(A41,BaseTable[[GEO.id2]:[MOE - 400% FPL and over - 65 years and over - No health insurance]],71,0))</f>
        <v>603</v>
      </c>
      <c r="J41">
        <f t="shared" si="2"/>
        <v>0.12898395721925135</v>
      </c>
      <c r="K41" s="73">
        <f t="shared" si="3"/>
        <v>299.39948741076603</v>
      </c>
      <c r="L41">
        <f>SUM(VLOOKUP(A41,BaseTable[[GEO.id2]:[MOE - 400% FPL and over - 65 years and over - No health insurance]],17,0),VLOOKUP(A41,BaseTable[[GEO.id2]:[MOE - 400% FPL and over - 65 years and over - No health insurance]],57,0),VLOOKUP(A41,BaseTable[[GEO.id2]:[MOE - 400% FPL and over - 65 years and over - No health insurance]],37,0))</f>
        <v>3462</v>
      </c>
      <c r="M41">
        <f t="shared" si="4"/>
        <v>0.74053475935828872</v>
      </c>
      <c r="N41" s="73">
        <f t="shared" si="5"/>
        <v>1718.9403406568356</v>
      </c>
    </row>
    <row r="42" spans="1:14" x14ac:dyDescent="0.3">
      <c r="A42">
        <v>20746</v>
      </c>
      <c r="B42" t="str">
        <f>VLOOKUP(A42,UninsuredTable[],3,0)</f>
        <v>Prince Georges</v>
      </c>
      <c r="C42">
        <f>VLOOKUP(A42,UninsuredTable[],4,0)</f>
        <v>27793</v>
      </c>
      <c r="D42">
        <f>VLOOKUP(A42,UninsuredTable[],5,0)</f>
        <v>2731</v>
      </c>
      <c r="E42" s="73">
        <v>1710.5973972874035</v>
      </c>
      <c r="F42">
        <f>SUM(VLOOKUP(A42,BaseTable[[GEO.id2]:[MOE - 400% FPL and over - 65 years and over - No health insurance]],11,0),VLOOKUP(A42,BaseTable[[GEO.id2]:[MOE - 400% FPL and over - 65 years and over - No health insurance]],31,0),VLOOKUP(A42,BaseTable[[GEO.id2]:[MOE - 400% FPL and over - 65 years and over - No health insurance]],51,0))</f>
        <v>179</v>
      </c>
      <c r="G42">
        <f t="shared" si="0"/>
        <v>6.5543756865616989E-2</v>
      </c>
      <c r="H42" s="73">
        <f t="shared" si="1"/>
        <v>112.1189799027628</v>
      </c>
      <c r="I42">
        <f>SUM(VLOOKUP(A42,BaseTable[[GEO.id2]:[MOE - 400% FPL and over - 65 years and over - No health insurance]],77,0),VLOOKUP(A42,BaseTable[[GEO.id2]:[MOE - 400% FPL and over - 65 years and over - No health insurance]],71,0))</f>
        <v>653</v>
      </c>
      <c r="J42">
        <f t="shared" si="2"/>
        <v>0.23910655437568656</v>
      </c>
      <c r="K42" s="73">
        <f t="shared" si="3"/>
        <v>409.01504958940848</v>
      </c>
      <c r="L42">
        <f>SUM(VLOOKUP(A42,BaseTable[[GEO.id2]:[MOE - 400% FPL and over - 65 years and over - No health insurance]],17,0),VLOOKUP(A42,BaseTable[[GEO.id2]:[MOE - 400% FPL and over - 65 years and over - No health insurance]],57,0),VLOOKUP(A42,BaseTable[[GEO.id2]:[MOE - 400% FPL and over - 65 years and over - No health insurance]],37,0))</f>
        <v>1878</v>
      </c>
      <c r="M42">
        <f t="shared" si="4"/>
        <v>0.68766019772976927</v>
      </c>
      <c r="N42" s="73">
        <f t="shared" si="5"/>
        <v>1176.3097444546845</v>
      </c>
    </row>
    <row r="43" spans="1:14" x14ac:dyDescent="0.3">
      <c r="A43">
        <v>20747</v>
      </c>
      <c r="B43" t="str">
        <f>VLOOKUP(A43,UninsuredTable[],3,0)</f>
        <v>Prince Georges</v>
      </c>
      <c r="C43">
        <f>VLOOKUP(A43,UninsuredTable[],4,0)</f>
        <v>38159</v>
      </c>
      <c r="D43">
        <f>VLOOKUP(A43,UninsuredTable[],5,0)</f>
        <v>3220</v>
      </c>
      <c r="E43" s="73">
        <v>2153.3936689048037</v>
      </c>
      <c r="F43">
        <f>SUM(VLOOKUP(A43,BaseTable[[GEO.id2]:[MOE - 400% FPL and over - 65 years and over - No health insurance]],11,0),VLOOKUP(A43,BaseTable[[GEO.id2]:[MOE - 400% FPL and over - 65 years and over - No health insurance]],31,0),VLOOKUP(A43,BaseTable[[GEO.id2]:[MOE - 400% FPL and over - 65 years and over - No health insurance]],51,0))</f>
        <v>166</v>
      </c>
      <c r="G43">
        <f t="shared" si="0"/>
        <v>5.1552795031055899E-2</v>
      </c>
      <c r="H43" s="73">
        <f t="shared" si="1"/>
        <v>111.0134624342228</v>
      </c>
      <c r="I43">
        <f>SUM(VLOOKUP(A43,BaseTable[[GEO.id2]:[MOE - 400% FPL and over - 65 years and over - No health insurance]],77,0),VLOOKUP(A43,BaseTable[[GEO.id2]:[MOE - 400% FPL and over - 65 years and over - No health insurance]],71,0))</f>
        <v>951</v>
      </c>
      <c r="J43">
        <f t="shared" si="2"/>
        <v>0.29534161490683231</v>
      </c>
      <c r="K43" s="73">
        <f t="shared" si="3"/>
        <v>635.98676370449323</v>
      </c>
      <c r="L43">
        <f>SUM(VLOOKUP(A43,BaseTable[[GEO.id2]:[MOE - 400% FPL and over - 65 years and over - No health insurance]],17,0),VLOOKUP(A43,BaseTable[[GEO.id2]:[MOE - 400% FPL and over - 65 years and over - No health insurance]],57,0),VLOOKUP(A43,BaseTable[[GEO.id2]:[MOE - 400% FPL and over - 65 years and over - No health insurance]],37,0))</f>
        <v>2103</v>
      </c>
      <c r="M43">
        <f t="shared" si="4"/>
        <v>0.65310559006211177</v>
      </c>
      <c r="N43" s="73">
        <f t="shared" si="5"/>
        <v>1406.3934427660877</v>
      </c>
    </row>
    <row r="44" spans="1:14" x14ac:dyDescent="0.3">
      <c r="A44">
        <v>20748</v>
      </c>
      <c r="B44" t="str">
        <f>VLOOKUP(A44,UninsuredTable[],3,0)</f>
        <v>Prince Georges</v>
      </c>
      <c r="C44">
        <f>VLOOKUP(A44,UninsuredTable[],4,0)</f>
        <v>38335</v>
      </c>
      <c r="D44">
        <f>VLOOKUP(A44,UninsuredTable[],5,0)</f>
        <v>3322</v>
      </c>
      <c r="E44" s="73">
        <v>2314.2723252560231</v>
      </c>
      <c r="F44">
        <f>SUM(VLOOKUP(A44,BaseTable[[GEO.id2]:[MOE - 400% FPL and over - 65 years and over - No health insurance]],11,0),VLOOKUP(A44,BaseTable[[GEO.id2]:[MOE - 400% FPL and over - 65 years and over - No health insurance]],31,0),VLOOKUP(A44,BaseTable[[GEO.id2]:[MOE - 400% FPL and over - 65 years and over - No health insurance]],51,0))</f>
        <v>226</v>
      </c>
      <c r="G44">
        <f t="shared" si="0"/>
        <v>6.8031306441902473E-2</v>
      </c>
      <c r="H44" s="73">
        <f t="shared" si="1"/>
        <v>157.44296974950669</v>
      </c>
      <c r="I44">
        <f>SUM(VLOOKUP(A44,BaseTable[[GEO.id2]:[MOE - 400% FPL and over - 65 years and over - No health insurance]],77,0),VLOOKUP(A44,BaseTable[[GEO.id2]:[MOE - 400% FPL and over - 65 years and over - No health insurance]],71,0))</f>
        <v>1316</v>
      </c>
      <c r="J44">
        <f t="shared" si="2"/>
        <v>0.39614689945815773</v>
      </c>
      <c r="K44" s="73">
        <f t="shared" si="3"/>
        <v>916.79180615199471</v>
      </c>
      <c r="L44">
        <f>SUM(VLOOKUP(A44,BaseTable[[GEO.id2]:[MOE - 400% FPL and over - 65 years and over - No health insurance]],17,0),VLOOKUP(A44,BaseTable[[GEO.id2]:[MOE - 400% FPL and over - 65 years and over - No health insurance]],57,0),VLOOKUP(A44,BaseTable[[GEO.id2]:[MOE - 400% FPL and over - 65 years and over - No health insurance]],37,0))</f>
        <v>1743</v>
      </c>
      <c r="M44">
        <f t="shared" si="4"/>
        <v>0.52468392534617703</v>
      </c>
      <c r="N44" s="73">
        <f t="shared" si="5"/>
        <v>1214.2614879353548</v>
      </c>
    </row>
    <row r="45" spans="1:14" x14ac:dyDescent="0.3">
      <c r="A45">
        <v>20754</v>
      </c>
      <c r="B45" t="str">
        <f>VLOOKUP(A45,UninsuredTable[],3,0)</f>
        <v>Calvert</v>
      </c>
      <c r="C45">
        <f>VLOOKUP(A45,UninsuredTable[],4,0)</f>
        <v>6783</v>
      </c>
      <c r="D45">
        <f>VLOOKUP(A45,UninsuredTable[],5,0)</f>
        <v>403</v>
      </c>
      <c r="E45" s="73">
        <v>403</v>
      </c>
      <c r="F45">
        <f>SUM(VLOOKUP(A45,BaseTable[[GEO.id2]:[MOE - 400% FPL and over - 65 years and over - No health insurance]],11,0),VLOOKUP(A45,BaseTable[[GEO.id2]:[MOE - 400% FPL and over - 65 years and over - No health insurance]],31,0),VLOOKUP(A45,BaseTable[[GEO.id2]:[MOE - 400% FPL and over - 65 years and over - No health insurance]],51,0))</f>
        <v>20</v>
      </c>
      <c r="G45">
        <f t="shared" si="0"/>
        <v>4.9627791563275438E-2</v>
      </c>
      <c r="H45" s="73">
        <f t="shared" si="1"/>
        <v>20</v>
      </c>
      <c r="I45">
        <f>SUM(VLOOKUP(A45,BaseTable[[GEO.id2]:[MOE - 400% FPL and over - 65 years and over - No health insurance]],77,0),VLOOKUP(A45,BaseTable[[GEO.id2]:[MOE - 400% FPL and over - 65 years and over - No health insurance]],71,0))</f>
        <v>181</v>
      </c>
      <c r="J45">
        <f t="shared" si="2"/>
        <v>0.4491315136476427</v>
      </c>
      <c r="K45" s="73">
        <f t="shared" si="3"/>
        <v>181</v>
      </c>
      <c r="L45">
        <f>SUM(VLOOKUP(A45,BaseTable[[GEO.id2]:[MOE - 400% FPL and over - 65 years and over - No health insurance]],17,0),VLOOKUP(A45,BaseTable[[GEO.id2]:[MOE - 400% FPL and over - 65 years and over - No health insurance]],57,0),VLOOKUP(A45,BaseTable[[GEO.id2]:[MOE - 400% FPL and over - 65 years and over - No health insurance]],37,0))</f>
        <v>202</v>
      </c>
      <c r="M45">
        <f t="shared" si="4"/>
        <v>0.50124069478908184</v>
      </c>
      <c r="N45" s="73">
        <f t="shared" si="5"/>
        <v>201.99999999999997</v>
      </c>
    </row>
    <row r="46" spans="1:14" x14ac:dyDescent="0.3">
      <c r="A46">
        <v>20764</v>
      </c>
      <c r="B46" t="str">
        <f>VLOOKUP(A46,UninsuredTable[],3,0)</f>
        <v>Anne Arundel</v>
      </c>
      <c r="C46">
        <f>VLOOKUP(A46,UninsuredTable[],4,0)</f>
        <v>4312</v>
      </c>
      <c r="D46">
        <f>VLOOKUP(A46,UninsuredTable[],5,0)</f>
        <v>250</v>
      </c>
      <c r="E46" s="73">
        <v>250</v>
      </c>
      <c r="F46">
        <f>SUM(VLOOKUP(A46,BaseTable[[GEO.id2]:[MOE - 400% FPL and over - 65 years and over - No health insurance]],11,0),VLOOKUP(A46,BaseTable[[GEO.id2]:[MOE - 400% FPL and over - 65 years and over - No health insurance]],31,0),VLOOKUP(A46,BaseTable[[GEO.id2]:[MOE - 400% FPL and over - 65 years and over - No health insurance]],51,0))</f>
        <v>0</v>
      </c>
      <c r="G46">
        <f t="shared" si="0"/>
        <v>0</v>
      </c>
      <c r="H46" s="73">
        <f t="shared" si="1"/>
        <v>0</v>
      </c>
      <c r="I46">
        <f>SUM(VLOOKUP(A46,BaseTable[[GEO.id2]:[MOE - 400% FPL and over - 65 years and over - No health insurance]],77,0),VLOOKUP(A46,BaseTable[[GEO.id2]:[MOE - 400% FPL and over - 65 years and over - No health insurance]],71,0))</f>
        <v>140</v>
      </c>
      <c r="J46">
        <f t="shared" si="2"/>
        <v>0.56000000000000005</v>
      </c>
      <c r="K46" s="73">
        <f t="shared" si="3"/>
        <v>140</v>
      </c>
      <c r="L46">
        <f>SUM(VLOOKUP(A46,BaseTable[[GEO.id2]:[MOE - 400% FPL and over - 65 years and over - No health insurance]],17,0),VLOOKUP(A46,BaseTable[[GEO.id2]:[MOE - 400% FPL and over - 65 years and over - No health insurance]],57,0),VLOOKUP(A46,BaseTable[[GEO.id2]:[MOE - 400% FPL and over - 65 years and over - No health insurance]],37,0))</f>
        <v>110</v>
      </c>
      <c r="M46">
        <f t="shared" si="4"/>
        <v>0.44</v>
      </c>
      <c r="N46" s="73">
        <f t="shared" si="5"/>
        <v>110</v>
      </c>
    </row>
    <row r="47" spans="1:14" x14ac:dyDescent="0.3">
      <c r="A47">
        <v>20769</v>
      </c>
      <c r="B47" t="str">
        <f>VLOOKUP(A47,UninsuredTable[],3,0)</f>
        <v>Prince Georges</v>
      </c>
      <c r="C47">
        <f>VLOOKUP(A47,UninsuredTable[],4,0)</f>
        <v>7014</v>
      </c>
      <c r="D47">
        <f>VLOOKUP(A47,UninsuredTable[],5,0)</f>
        <v>598</v>
      </c>
      <c r="E47" s="73">
        <v>565</v>
      </c>
      <c r="F47">
        <f>SUM(VLOOKUP(A47,BaseTable[[GEO.id2]:[MOE - 400% FPL and over - 65 years and over - No health insurance]],11,0),VLOOKUP(A47,BaseTable[[GEO.id2]:[MOE - 400% FPL and over - 65 years and over - No health insurance]],31,0),VLOOKUP(A47,BaseTable[[GEO.id2]:[MOE - 400% FPL and over - 65 years and over - No health insurance]],51,0))</f>
        <v>90</v>
      </c>
      <c r="G47">
        <f t="shared" si="0"/>
        <v>0.15050167224080269</v>
      </c>
      <c r="H47" s="73">
        <f t="shared" si="1"/>
        <v>85.033444816053517</v>
      </c>
      <c r="I47">
        <f>SUM(VLOOKUP(A47,BaseTable[[GEO.id2]:[MOE - 400% FPL and over - 65 years and over - No health insurance]],77,0),VLOOKUP(A47,BaseTable[[GEO.id2]:[MOE - 400% FPL and over - 65 years and over - No health insurance]],71,0))</f>
        <v>141</v>
      </c>
      <c r="J47">
        <f t="shared" si="2"/>
        <v>0.23578595317725753</v>
      </c>
      <c r="K47" s="73">
        <f t="shared" si="3"/>
        <v>133.2190635451505</v>
      </c>
      <c r="L47">
        <f>SUM(VLOOKUP(A47,BaseTable[[GEO.id2]:[MOE - 400% FPL and over - 65 years and over - No health insurance]],17,0),VLOOKUP(A47,BaseTable[[GEO.id2]:[MOE - 400% FPL and over - 65 years and over - No health insurance]],57,0),VLOOKUP(A47,BaseTable[[GEO.id2]:[MOE - 400% FPL and over - 65 years and over - No health insurance]],37,0))</f>
        <v>334</v>
      </c>
      <c r="M47">
        <f t="shared" si="4"/>
        <v>0.55852842809364545</v>
      </c>
      <c r="N47" s="73">
        <f t="shared" si="5"/>
        <v>315.5685618729097</v>
      </c>
    </row>
    <row r="48" spans="1:14" x14ac:dyDescent="0.3">
      <c r="A48">
        <v>20770</v>
      </c>
      <c r="B48" t="str">
        <f>VLOOKUP(A48,UninsuredTable[],3,0)</f>
        <v>Prince Georges</v>
      </c>
      <c r="C48">
        <f>VLOOKUP(A48,UninsuredTable[],4,0)</f>
        <v>26117</v>
      </c>
      <c r="D48">
        <f>VLOOKUP(A48,UninsuredTable[],5,0)</f>
        <v>3329</v>
      </c>
      <c r="E48" s="73">
        <v>1635.5407419711364</v>
      </c>
      <c r="F48">
        <f>SUM(VLOOKUP(A48,BaseTable[[GEO.id2]:[MOE - 400% FPL and over - 65 years and over - No health insurance]],11,0),VLOOKUP(A48,BaseTable[[GEO.id2]:[MOE - 400% FPL and over - 65 years and over - No health insurance]],31,0),VLOOKUP(A48,BaseTable[[GEO.id2]:[MOE - 400% FPL and over - 65 years and over - No health insurance]],51,0))</f>
        <v>294</v>
      </c>
      <c r="G48">
        <f t="shared" si="0"/>
        <v>8.8314809252027629E-2</v>
      </c>
      <c r="H48" s="73">
        <f t="shared" si="1"/>
        <v>144.44246865110065</v>
      </c>
      <c r="I48">
        <f>SUM(VLOOKUP(A48,BaseTable[[GEO.id2]:[MOE - 400% FPL and over - 65 years and over - No health insurance]],77,0),VLOOKUP(A48,BaseTable[[GEO.id2]:[MOE - 400% FPL and over - 65 years and over - No health insurance]],71,0))</f>
        <v>727</v>
      </c>
      <c r="J48">
        <f t="shared" si="2"/>
        <v>0.21838389906878944</v>
      </c>
      <c r="K48" s="73">
        <f t="shared" si="3"/>
        <v>357.17576431751763</v>
      </c>
      <c r="L48">
        <f>SUM(VLOOKUP(A48,BaseTable[[GEO.id2]:[MOE - 400% FPL and over - 65 years and over - No health insurance]],17,0),VLOOKUP(A48,BaseTable[[GEO.id2]:[MOE - 400% FPL and over - 65 years and over - No health insurance]],57,0),VLOOKUP(A48,BaseTable[[GEO.id2]:[MOE - 400% FPL and over - 65 years and over - No health insurance]],37,0))</f>
        <v>2289</v>
      </c>
      <c r="M48">
        <f t="shared" si="4"/>
        <v>0.68759387203364375</v>
      </c>
      <c r="N48" s="73">
        <f t="shared" si="5"/>
        <v>1124.5877916407123</v>
      </c>
    </row>
    <row r="49" spans="1:14" x14ac:dyDescent="0.3">
      <c r="A49">
        <v>20772</v>
      </c>
      <c r="B49" t="str">
        <f>VLOOKUP(A49,UninsuredTable[],3,0)</f>
        <v>Prince Georges</v>
      </c>
      <c r="C49">
        <f>VLOOKUP(A49,UninsuredTable[],4,0)</f>
        <v>44217</v>
      </c>
      <c r="D49">
        <f>VLOOKUP(A49,UninsuredTable[],5,0)</f>
        <v>2420</v>
      </c>
      <c r="E49" s="73">
        <v>1667.0525666170486</v>
      </c>
      <c r="F49">
        <f>SUM(VLOOKUP(A49,BaseTable[[GEO.id2]:[MOE - 400% FPL and over - 65 years and over - No health insurance]],11,0),VLOOKUP(A49,BaseTable[[GEO.id2]:[MOE - 400% FPL and over - 65 years and over - No health insurance]],31,0),VLOOKUP(A49,BaseTable[[GEO.id2]:[MOE - 400% FPL and over - 65 years and over - No health insurance]],51,0))</f>
        <v>197</v>
      </c>
      <c r="G49">
        <f t="shared" si="0"/>
        <v>8.1404958677685949E-2</v>
      </c>
      <c r="H49" s="73">
        <f t="shared" si="1"/>
        <v>135.70634529899115</v>
      </c>
      <c r="I49">
        <f>SUM(VLOOKUP(A49,BaseTable[[GEO.id2]:[MOE - 400% FPL and over - 65 years and over - No health insurance]],77,0),VLOOKUP(A49,BaseTable[[GEO.id2]:[MOE - 400% FPL and over - 65 years and over - No health insurance]],71,0))</f>
        <v>932</v>
      </c>
      <c r="J49">
        <f t="shared" si="2"/>
        <v>0.38512396694214879</v>
      </c>
      <c r="K49" s="73">
        <f t="shared" si="3"/>
        <v>642.02189755664847</v>
      </c>
      <c r="L49">
        <f>SUM(VLOOKUP(A49,BaseTable[[GEO.id2]:[MOE - 400% FPL and over - 65 years and over - No health insurance]],17,0),VLOOKUP(A49,BaseTable[[GEO.id2]:[MOE - 400% FPL and over - 65 years and over - No health insurance]],57,0),VLOOKUP(A49,BaseTable[[GEO.id2]:[MOE - 400% FPL and over - 65 years and over - No health insurance]],37,0))</f>
        <v>1267</v>
      </c>
      <c r="M49">
        <f t="shared" si="4"/>
        <v>0.52355371900826442</v>
      </c>
      <c r="N49" s="73">
        <f t="shared" si="5"/>
        <v>872.79157103462819</v>
      </c>
    </row>
    <row r="50" spans="1:14" x14ac:dyDescent="0.3">
      <c r="A50">
        <v>20774</v>
      </c>
      <c r="B50" t="str">
        <f>VLOOKUP(A50,UninsuredTable[],3,0)</f>
        <v>Prince Georges</v>
      </c>
      <c r="C50">
        <f>VLOOKUP(A50,UninsuredTable[],4,0)</f>
        <v>45752</v>
      </c>
      <c r="D50">
        <f>VLOOKUP(A50,UninsuredTable[],5,0)</f>
        <v>2894</v>
      </c>
      <c r="E50" s="73">
        <v>1868.953034900881</v>
      </c>
      <c r="F50">
        <f>SUM(VLOOKUP(A50,BaseTable[[GEO.id2]:[MOE - 400% FPL and over - 65 years and over - No health insurance]],11,0),VLOOKUP(A50,BaseTable[[GEO.id2]:[MOE - 400% FPL and over - 65 years and over - No health insurance]],31,0),VLOOKUP(A50,BaseTable[[GEO.id2]:[MOE - 400% FPL and over - 65 years and over - No health insurance]],51,0))</f>
        <v>253</v>
      </c>
      <c r="G50">
        <f t="shared" si="0"/>
        <v>8.7422252937111269E-2</v>
      </c>
      <c r="H50" s="73">
        <f t="shared" si="1"/>
        <v>163.38808494468657</v>
      </c>
      <c r="I50">
        <f>SUM(VLOOKUP(A50,BaseTable[[GEO.id2]:[MOE - 400% FPL and over - 65 years and over - No health insurance]],77,0),VLOOKUP(A50,BaseTable[[GEO.id2]:[MOE - 400% FPL and over - 65 years and over - No health insurance]],71,0))</f>
        <v>1150</v>
      </c>
      <c r="J50">
        <f t="shared" si="2"/>
        <v>0.39737387698686938</v>
      </c>
      <c r="K50" s="73">
        <f t="shared" si="3"/>
        <v>742.67311338493892</v>
      </c>
      <c r="L50">
        <f>SUM(VLOOKUP(A50,BaseTable[[GEO.id2]:[MOE - 400% FPL and over - 65 years and over - No health insurance]],17,0),VLOOKUP(A50,BaseTable[[GEO.id2]:[MOE - 400% FPL and over - 65 years and over - No health insurance]],57,0),VLOOKUP(A50,BaseTable[[GEO.id2]:[MOE - 400% FPL and over - 65 years and over - No health insurance]],37,0))</f>
        <v>1439</v>
      </c>
      <c r="M50">
        <f t="shared" si="4"/>
        <v>0.4972356599861783</v>
      </c>
      <c r="N50" s="73">
        <f t="shared" si="5"/>
        <v>929.31009579211047</v>
      </c>
    </row>
    <row r="51" spans="1:14" x14ac:dyDescent="0.3">
      <c r="A51">
        <v>20781</v>
      </c>
      <c r="B51" t="str">
        <f>VLOOKUP(A51,UninsuredTable[],3,0)</f>
        <v>Prince Georges</v>
      </c>
      <c r="C51">
        <f>VLOOKUP(A51,UninsuredTable[],4,0)</f>
        <v>11333</v>
      </c>
      <c r="D51">
        <f>VLOOKUP(A51,UninsuredTable[],5,0)</f>
        <v>2151</v>
      </c>
      <c r="E51" s="73">
        <v>833.93813031451054</v>
      </c>
      <c r="F51">
        <f>SUM(VLOOKUP(A51,BaseTable[[GEO.id2]:[MOE - 400% FPL and over - 65 years and over - No health insurance]],11,0),VLOOKUP(A51,BaseTable[[GEO.id2]:[MOE - 400% FPL and over - 65 years and over - No health insurance]],31,0),VLOOKUP(A51,BaseTable[[GEO.id2]:[MOE - 400% FPL and over - 65 years and over - No health insurance]],51,0))</f>
        <v>202</v>
      </c>
      <c r="G51">
        <f t="shared" si="0"/>
        <v>9.3909809390980939E-2</v>
      </c>
      <c r="H51" s="73">
        <f t="shared" si="1"/>
        <v>78.314970861706712</v>
      </c>
      <c r="I51">
        <f>SUM(VLOOKUP(A51,BaseTable[[GEO.id2]:[MOE - 400% FPL and over - 65 years and over - No health insurance]],77,0),VLOOKUP(A51,BaseTable[[GEO.id2]:[MOE - 400% FPL and over - 65 years and over - No health insurance]],71,0))</f>
        <v>144</v>
      </c>
      <c r="J51">
        <f t="shared" si="2"/>
        <v>6.6945606694560664E-2</v>
      </c>
      <c r="K51" s="73">
        <f t="shared" si="3"/>
        <v>55.828494079632499</v>
      </c>
      <c r="L51">
        <f>SUM(VLOOKUP(A51,BaseTable[[GEO.id2]:[MOE - 400% FPL and over - 65 years and over - No health insurance]],17,0),VLOOKUP(A51,BaseTable[[GEO.id2]:[MOE - 400% FPL and over - 65 years and over - No health insurance]],57,0),VLOOKUP(A51,BaseTable[[GEO.id2]:[MOE - 400% FPL and over - 65 years and over - No health insurance]],37,0))</f>
        <v>1781</v>
      </c>
      <c r="M51">
        <f t="shared" si="4"/>
        <v>0.82798698279869831</v>
      </c>
      <c r="N51" s="73">
        <f t="shared" si="5"/>
        <v>690.48991635989933</v>
      </c>
    </row>
    <row r="52" spans="1:14" x14ac:dyDescent="0.3">
      <c r="A52">
        <v>20782</v>
      </c>
      <c r="B52" t="str">
        <f>VLOOKUP(A52,UninsuredTable[],3,0)</f>
        <v>Prince Georges</v>
      </c>
      <c r="C52">
        <f>VLOOKUP(A52,UninsuredTable[],4,0)</f>
        <v>32322</v>
      </c>
      <c r="D52">
        <f>VLOOKUP(A52,UninsuredTable[],5,0)</f>
        <v>6133</v>
      </c>
      <c r="E52" s="73">
        <v>2469.8609867820019</v>
      </c>
      <c r="F52">
        <f>SUM(VLOOKUP(A52,BaseTable[[GEO.id2]:[MOE - 400% FPL and over - 65 years and over - No health insurance]],11,0),VLOOKUP(A52,BaseTable[[GEO.id2]:[MOE - 400% FPL and over - 65 years and over - No health insurance]],31,0),VLOOKUP(A52,BaseTable[[GEO.id2]:[MOE - 400% FPL and over - 65 years and over - No health insurance]],51,0))</f>
        <v>493</v>
      </c>
      <c r="G52">
        <f t="shared" si="0"/>
        <v>8.0384803521930545E-2</v>
      </c>
      <c r="H52" s="73">
        <f t="shared" si="1"/>
        <v>198.53929014895272</v>
      </c>
      <c r="I52">
        <f>SUM(VLOOKUP(A52,BaseTable[[GEO.id2]:[MOE - 400% FPL and over - 65 years and over - No health insurance]],77,0),VLOOKUP(A52,BaseTable[[GEO.id2]:[MOE - 400% FPL and over - 65 years and over - No health insurance]],71,0))</f>
        <v>868</v>
      </c>
      <c r="J52">
        <f t="shared" si="2"/>
        <v>0.14152943094733408</v>
      </c>
      <c r="K52" s="73">
        <f t="shared" si="3"/>
        <v>349.55801997827774</v>
      </c>
      <c r="L52">
        <f>SUM(VLOOKUP(A52,BaseTable[[GEO.id2]:[MOE - 400% FPL and over - 65 years and over - No health insurance]],17,0),VLOOKUP(A52,BaseTable[[GEO.id2]:[MOE - 400% FPL and over - 65 years and over - No health insurance]],57,0),VLOOKUP(A52,BaseTable[[GEO.id2]:[MOE - 400% FPL and over - 65 years and over - No health insurance]],37,0))</f>
        <v>4771</v>
      </c>
      <c r="M52">
        <f t="shared" si="4"/>
        <v>0.77792271319093431</v>
      </c>
      <c r="N52" s="73">
        <f t="shared" si="5"/>
        <v>1921.3609600418933</v>
      </c>
    </row>
    <row r="53" spans="1:14" x14ac:dyDescent="0.3">
      <c r="A53">
        <v>20783</v>
      </c>
      <c r="B53" t="str">
        <f>VLOOKUP(A53,UninsuredTable[],3,0)</f>
        <v>Prince Georges</v>
      </c>
      <c r="C53">
        <f>VLOOKUP(A53,UninsuredTable[],4,0)</f>
        <v>46708</v>
      </c>
      <c r="D53">
        <f>VLOOKUP(A53,UninsuredTable[],5,0)</f>
        <v>16327</v>
      </c>
      <c r="E53" s="73">
        <v>5102.1102747733648</v>
      </c>
      <c r="F53">
        <f>SUM(VLOOKUP(A53,BaseTable[[GEO.id2]:[MOE - 400% FPL and over - 65 years and over - No health insurance]],11,0),VLOOKUP(A53,BaseTable[[GEO.id2]:[MOE - 400% FPL and over - 65 years and over - No health insurance]],31,0),VLOOKUP(A53,BaseTable[[GEO.id2]:[MOE - 400% FPL and over - 65 years and over - No health insurance]],51,0))</f>
        <v>1030</v>
      </c>
      <c r="G53">
        <f t="shared" si="0"/>
        <v>6.3085686286519269E-2</v>
      </c>
      <c r="H53" s="73">
        <f t="shared" si="1"/>
        <v>321.87012819357909</v>
      </c>
      <c r="I53">
        <f>SUM(VLOOKUP(A53,BaseTable[[GEO.id2]:[MOE - 400% FPL and over - 65 years and over - No health insurance]],77,0),VLOOKUP(A53,BaseTable[[GEO.id2]:[MOE - 400% FPL and over - 65 years and over - No health insurance]],71,0))</f>
        <v>1579</v>
      </c>
      <c r="J53">
        <f t="shared" si="2"/>
        <v>9.671096955962516E-2</v>
      </c>
      <c r="K53" s="73">
        <f t="shared" si="3"/>
        <v>493.43003147345763</v>
      </c>
      <c r="L53">
        <f>SUM(VLOOKUP(A53,BaseTable[[GEO.id2]:[MOE - 400% FPL and over - 65 years and over - No health insurance]],17,0),VLOOKUP(A53,BaseTable[[GEO.id2]:[MOE - 400% FPL and over - 65 years and over - No health insurance]],57,0),VLOOKUP(A53,BaseTable[[GEO.id2]:[MOE - 400% FPL and over - 65 years and over - No health insurance]],37,0))</f>
        <v>13560</v>
      </c>
      <c r="M53">
        <f t="shared" si="4"/>
        <v>0.83052612237398171</v>
      </c>
      <c r="N53" s="73">
        <f t="shared" si="5"/>
        <v>4237.435862431973</v>
      </c>
    </row>
    <row r="54" spans="1:14" x14ac:dyDescent="0.3">
      <c r="A54">
        <v>20784</v>
      </c>
      <c r="B54" t="str">
        <f>VLOOKUP(A54,UninsuredTable[],3,0)</f>
        <v>Prince Georges</v>
      </c>
      <c r="C54">
        <f>VLOOKUP(A54,UninsuredTable[],4,0)</f>
        <v>30388</v>
      </c>
      <c r="D54">
        <f>VLOOKUP(A54,UninsuredTable[],5,0)</f>
        <v>5272</v>
      </c>
      <c r="E54" s="73">
        <v>2513.0626529269339</v>
      </c>
      <c r="F54">
        <f>SUM(VLOOKUP(A54,BaseTable[[GEO.id2]:[MOE - 400% FPL and over - 65 years and over - No health insurance]],11,0),VLOOKUP(A54,BaseTable[[GEO.id2]:[MOE - 400% FPL and over - 65 years and over - No health insurance]],31,0),VLOOKUP(A54,BaseTable[[GEO.id2]:[MOE - 400% FPL and over - 65 years and over - No health insurance]],51,0))</f>
        <v>561</v>
      </c>
      <c r="G54">
        <f t="shared" si="0"/>
        <v>0.10641122913505312</v>
      </c>
      <c r="H54" s="73">
        <f t="shared" si="1"/>
        <v>267.41808579135244</v>
      </c>
      <c r="I54">
        <f>SUM(VLOOKUP(A54,BaseTable[[GEO.id2]:[MOE - 400% FPL and over - 65 years and over - No health insurance]],77,0),VLOOKUP(A54,BaseTable[[GEO.id2]:[MOE - 400% FPL and over - 65 years and over - No health insurance]],71,0))</f>
        <v>1175</v>
      </c>
      <c r="J54">
        <f t="shared" si="2"/>
        <v>0.22287556904400607</v>
      </c>
      <c r="K54" s="73">
        <f t="shared" si="3"/>
        <v>560.10026881432987</v>
      </c>
      <c r="L54">
        <f>SUM(VLOOKUP(A54,BaseTable[[GEO.id2]:[MOE - 400% FPL and over - 65 years and over - No health insurance]],17,0),VLOOKUP(A54,BaseTable[[GEO.id2]:[MOE - 400% FPL and over - 65 years and over - No health insurance]],57,0),VLOOKUP(A54,BaseTable[[GEO.id2]:[MOE - 400% FPL and over - 65 years and over - No health insurance]],37,0))</f>
        <v>3491</v>
      </c>
      <c r="M54">
        <f t="shared" si="4"/>
        <v>0.66217754172989374</v>
      </c>
      <c r="N54" s="73">
        <f t="shared" si="5"/>
        <v>1664.0936497283622</v>
      </c>
    </row>
    <row r="55" spans="1:14" x14ac:dyDescent="0.3">
      <c r="A55">
        <v>20785</v>
      </c>
      <c r="B55" t="str">
        <f>VLOOKUP(A55,UninsuredTable[],3,0)</f>
        <v>Prince Georges</v>
      </c>
      <c r="C55">
        <f>VLOOKUP(A55,UninsuredTable[],4,0)</f>
        <v>37189</v>
      </c>
      <c r="D55">
        <f>VLOOKUP(A55,UninsuredTable[],5,0)</f>
        <v>4213</v>
      </c>
      <c r="E55" s="73">
        <v>2392.8009455116949</v>
      </c>
      <c r="F55">
        <f>SUM(VLOOKUP(A55,BaseTable[[GEO.id2]:[MOE - 400% FPL and over - 65 years and over - No health insurance]],11,0),VLOOKUP(A55,BaseTable[[GEO.id2]:[MOE - 400% FPL and over - 65 years and over - No health insurance]],31,0),VLOOKUP(A55,BaseTable[[GEO.id2]:[MOE - 400% FPL and over - 65 years and over - No health insurance]],51,0))</f>
        <v>463</v>
      </c>
      <c r="G55">
        <f t="shared" si="0"/>
        <v>0.10989793496320911</v>
      </c>
      <c r="H55" s="73">
        <f t="shared" si="1"/>
        <v>262.96388268974954</v>
      </c>
      <c r="I55">
        <f>SUM(VLOOKUP(A55,BaseTable[[GEO.id2]:[MOE - 400% FPL and over - 65 years and over - No health insurance]],77,0),VLOOKUP(A55,BaseTable[[GEO.id2]:[MOE - 400% FPL and over - 65 years and over - No health insurance]],71,0))</f>
        <v>980</v>
      </c>
      <c r="J55">
        <f t="shared" si="2"/>
        <v>0.232613339662948</v>
      </c>
      <c r="K55" s="73">
        <f t="shared" si="3"/>
        <v>556.59741908413503</v>
      </c>
      <c r="L55">
        <f>SUM(VLOOKUP(A55,BaseTable[[GEO.id2]:[MOE - 400% FPL and over - 65 years and over - No health insurance]],17,0),VLOOKUP(A55,BaseTable[[GEO.id2]:[MOE - 400% FPL and over - 65 years and over - No health insurance]],57,0),VLOOKUP(A55,BaseTable[[GEO.id2]:[MOE - 400% FPL and over - 65 years and over - No health insurance]],37,0))</f>
        <v>2688</v>
      </c>
      <c r="M55">
        <f t="shared" si="4"/>
        <v>0.63802516021837175</v>
      </c>
      <c r="N55" s="73">
        <f t="shared" si="5"/>
        <v>1526.6672066307706</v>
      </c>
    </row>
    <row r="56" spans="1:14" x14ac:dyDescent="0.3">
      <c r="A56">
        <v>20794</v>
      </c>
      <c r="B56" t="str">
        <f>VLOOKUP(A56,UninsuredTable[],3,0)</f>
        <v>Howard</v>
      </c>
      <c r="C56">
        <f>VLOOKUP(A56,UninsuredTable[],4,0)</f>
        <v>9792</v>
      </c>
      <c r="D56">
        <f>VLOOKUP(A56,UninsuredTable[],5,0)</f>
        <v>787</v>
      </c>
      <c r="E56" s="73">
        <v>779</v>
      </c>
      <c r="F56">
        <f>SUM(VLOOKUP(A56,BaseTable[[GEO.id2]:[MOE - 400% FPL and over - 65 years and over - No health insurance]],11,0),VLOOKUP(A56,BaseTable[[GEO.id2]:[MOE - 400% FPL and over - 65 years and over - No health insurance]],31,0),VLOOKUP(A56,BaseTable[[GEO.id2]:[MOE - 400% FPL and over - 65 years and over - No health insurance]],51,0))</f>
        <v>49</v>
      </c>
      <c r="G56">
        <f t="shared" si="0"/>
        <v>6.2261753494282084E-2</v>
      </c>
      <c r="H56" s="73">
        <f t="shared" si="1"/>
        <v>48.501905972045741</v>
      </c>
      <c r="I56">
        <f>SUM(VLOOKUP(A56,BaseTable[[GEO.id2]:[MOE - 400% FPL and over - 65 years and over - No health insurance]],77,0),VLOOKUP(A56,BaseTable[[GEO.id2]:[MOE - 400% FPL and over - 65 years and over - No health insurance]],71,0))</f>
        <v>165</v>
      </c>
      <c r="J56">
        <f t="shared" si="2"/>
        <v>0.20965692503176619</v>
      </c>
      <c r="K56" s="73">
        <f t="shared" si="3"/>
        <v>163.32274459974587</v>
      </c>
      <c r="L56">
        <f>SUM(VLOOKUP(A56,BaseTable[[GEO.id2]:[MOE - 400% FPL and over - 65 years and over - No health insurance]],17,0),VLOOKUP(A56,BaseTable[[GEO.id2]:[MOE - 400% FPL and over - 65 years and over - No health insurance]],57,0),VLOOKUP(A56,BaseTable[[GEO.id2]:[MOE - 400% FPL and over - 65 years and over - No health insurance]],37,0))</f>
        <v>565</v>
      </c>
      <c r="M56">
        <f t="shared" si="4"/>
        <v>0.71791613722998726</v>
      </c>
      <c r="N56" s="73">
        <f t="shared" si="5"/>
        <v>559.25667090216007</v>
      </c>
    </row>
    <row r="57" spans="1:14" x14ac:dyDescent="0.3">
      <c r="A57">
        <v>20814</v>
      </c>
      <c r="B57" t="str">
        <f>VLOOKUP(A57,UninsuredTable[],3,0)</f>
        <v>Montgomery</v>
      </c>
      <c r="C57">
        <f>VLOOKUP(A57,UninsuredTable[],4,0)</f>
        <v>28096</v>
      </c>
      <c r="D57">
        <f>VLOOKUP(A57,UninsuredTable[],5,0)</f>
        <v>592</v>
      </c>
      <c r="E57" s="73">
        <v>538</v>
      </c>
      <c r="F57">
        <f>SUM(VLOOKUP(A57,BaseTable[[GEO.id2]:[MOE - 400% FPL and over - 65 years and over - No health insurance]],11,0),VLOOKUP(A57,BaseTable[[GEO.id2]:[MOE - 400% FPL and over - 65 years and over - No health insurance]],31,0),VLOOKUP(A57,BaseTable[[GEO.id2]:[MOE - 400% FPL and over - 65 years and over - No health insurance]],51,0))</f>
        <v>11</v>
      </c>
      <c r="G57">
        <f t="shared" si="0"/>
        <v>1.8581081081081082E-2</v>
      </c>
      <c r="H57" s="73">
        <f t="shared" si="1"/>
        <v>9.9966216216216228</v>
      </c>
      <c r="I57">
        <f>SUM(VLOOKUP(A57,BaseTable[[GEO.id2]:[MOE - 400% FPL and over - 65 years and over - No health insurance]],77,0),VLOOKUP(A57,BaseTable[[GEO.id2]:[MOE - 400% FPL and over - 65 years and over - No health insurance]],71,0))</f>
        <v>262</v>
      </c>
      <c r="J57">
        <f t="shared" si="2"/>
        <v>0.44256756756756754</v>
      </c>
      <c r="K57" s="73">
        <f t="shared" si="3"/>
        <v>238.10135135135133</v>
      </c>
      <c r="L57">
        <f>SUM(VLOOKUP(A57,BaseTable[[GEO.id2]:[MOE - 400% FPL and over - 65 years and over - No health insurance]],17,0),VLOOKUP(A57,BaseTable[[GEO.id2]:[MOE - 400% FPL and over - 65 years and over - No health insurance]],57,0),VLOOKUP(A57,BaseTable[[GEO.id2]:[MOE - 400% FPL and over - 65 years and over - No health insurance]],37,0))</f>
        <v>265</v>
      </c>
      <c r="M57">
        <f t="shared" si="4"/>
        <v>0.44763513513513514</v>
      </c>
      <c r="N57" s="73">
        <f t="shared" si="5"/>
        <v>240.82770270270271</v>
      </c>
    </row>
    <row r="58" spans="1:14" x14ac:dyDescent="0.3">
      <c r="A58">
        <v>20815</v>
      </c>
      <c r="B58" t="str">
        <f>VLOOKUP(A58,UninsuredTable[],3,0)</f>
        <v>Montgomery</v>
      </c>
      <c r="C58">
        <f>VLOOKUP(A58,UninsuredTable[],4,0)</f>
        <v>30209</v>
      </c>
      <c r="D58">
        <f>VLOOKUP(A58,UninsuredTable[],5,0)</f>
        <v>1105</v>
      </c>
      <c r="E58" s="73">
        <v>636.61808355001313</v>
      </c>
      <c r="F58">
        <f>SUM(VLOOKUP(A58,BaseTable[[GEO.id2]:[MOE - 400% FPL and over - 65 years and over - No health insurance]],11,0),VLOOKUP(A58,BaseTable[[GEO.id2]:[MOE - 400% FPL and over - 65 years and over - No health insurance]],31,0),VLOOKUP(A58,BaseTable[[GEO.id2]:[MOE - 400% FPL and over - 65 years and over - No health insurance]],51,0))</f>
        <v>57</v>
      </c>
      <c r="G58">
        <f t="shared" si="0"/>
        <v>5.1583710407239816E-2</v>
      </c>
      <c r="H58" s="73">
        <f t="shared" si="1"/>
        <v>32.839122861855877</v>
      </c>
      <c r="I58">
        <f>SUM(VLOOKUP(A58,BaseTable[[GEO.id2]:[MOE - 400% FPL and over - 65 years and over - No health insurance]],77,0),VLOOKUP(A58,BaseTable[[GEO.id2]:[MOE - 400% FPL and over - 65 years and over - No health insurance]],71,0))</f>
        <v>702</v>
      </c>
      <c r="J58">
        <f t="shared" si="2"/>
        <v>0.63529411764705879</v>
      </c>
      <c r="K58" s="73">
        <f t="shared" si="3"/>
        <v>404.43972366706714</v>
      </c>
      <c r="L58">
        <f>SUM(VLOOKUP(A58,BaseTable[[GEO.id2]:[MOE - 400% FPL and over - 65 years and over - No health insurance]],17,0),VLOOKUP(A58,BaseTable[[GEO.id2]:[MOE - 400% FPL and over - 65 years and over - No health insurance]],57,0),VLOOKUP(A58,BaseTable[[GEO.id2]:[MOE - 400% FPL and over - 65 years and over - No health insurance]],37,0))</f>
        <v>323</v>
      </c>
      <c r="M58">
        <f t="shared" si="4"/>
        <v>0.29230769230769232</v>
      </c>
      <c r="N58" s="73">
        <f t="shared" si="5"/>
        <v>186.08836288385001</v>
      </c>
    </row>
    <row r="59" spans="1:14" x14ac:dyDescent="0.3">
      <c r="A59">
        <v>20817</v>
      </c>
      <c r="B59" t="str">
        <f>VLOOKUP(A59,UninsuredTable[],3,0)</f>
        <v>Montgomery</v>
      </c>
      <c r="C59">
        <f>VLOOKUP(A59,UninsuredTable[],4,0)</f>
        <v>36932</v>
      </c>
      <c r="D59">
        <f>VLOOKUP(A59,UninsuredTable[],5,0)</f>
        <v>773</v>
      </c>
      <c r="E59" s="73">
        <v>728</v>
      </c>
      <c r="F59">
        <f>SUM(VLOOKUP(A59,BaseTable[[GEO.id2]:[MOE - 400% FPL and over - 65 years and over - No health insurance]],11,0),VLOOKUP(A59,BaseTable[[GEO.id2]:[MOE - 400% FPL and over - 65 years and over - No health insurance]],31,0),VLOOKUP(A59,BaseTable[[GEO.id2]:[MOE - 400% FPL and over - 65 years and over - No health insurance]],51,0))</f>
        <v>7</v>
      </c>
      <c r="G59">
        <f t="shared" si="0"/>
        <v>9.0556274256144882E-3</v>
      </c>
      <c r="H59" s="73">
        <f t="shared" si="1"/>
        <v>6.592496765847347</v>
      </c>
      <c r="I59">
        <f>SUM(VLOOKUP(A59,BaseTable[[GEO.id2]:[MOE - 400% FPL and over - 65 years and over - No health insurance]],77,0),VLOOKUP(A59,BaseTable[[GEO.id2]:[MOE - 400% FPL and over - 65 years and over - No health insurance]],71,0))</f>
        <v>393</v>
      </c>
      <c r="J59">
        <f t="shared" si="2"/>
        <v>0.50840879689521346</v>
      </c>
      <c r="K59" s="73">
        <f t="shared" si="3"/>
        <v>370.12160413971537</v>
      </c>
      <c r="L59">
        <f>SUM(VLOOKUP(A59,BaseTable[[GEO.id2]:[MOE - 400% FPL and over - 65 years and over - No health insurance]],17,0),VLOOKUP(A59,BaseTable[[GEO.id2]:[MOE - 400% FPL and over - 65 years and over - No health insurance]],57,0),VLOOKUP(A59,BaseTable[[GEO.id2]:[MOE - 400% FPL and over - 65 years and over - No health insurance]],37,0))</f>
        <v>328</v>
      </c>
      <c r="M59">
        <f t="shared" si="4"/>
        <v>0.4243208279430789</v>
      </c>
      <c r="N59" s="73">
        <f t="shared" si="5"/>
        <v>308.90556274256141</v>
      </c>
    </row>
    <row r="60" spans="1:14" x14ac:dyDescent="0.3">
      <c r="A60">
        <v>20832</v>
      </c>
      <c r="B60" t="str">
        <f>VLOOKUP(A60,UninsuredTable[],3,0)</f>
        <v>Montgomery</v>
      </c>
      <c r="C60">
        <f>VLOOKUP(A60,UninsuredTable[],4,0)</f>
        <v>26739</v>
      </c>
      <c r="D60">
        <f>VLOOKUP(A60,UninsuredTable[],5,0)</f>
        <v>573</v>
      </c>
      <c r="E60" s="73">
        <v>483</v>
      </c>
      <c r="F60">
        <f>SUM(VLOOKUP(A60,BaseTable[[GEO.id2]:[MOE - 400% FPL and over - 65 years and over - No health insurance]],11,0),VLOOKUP(A60,BaseTable[[GEO.id2]:[MOE - 400% FPL and over - 65 years and over - No health insurance]],31,0),VLOOKUP(A60,BaseTable[[GEO.id2]:[MOE - 400% FPL and over - 65 years and over - No health insurance]],51,0))</f>
        <v>7</v>
      </c>
      <c r="G60">
        <f t="shared" si="0"/>
        <v>1.2216404886561954E-2</v>
      </c>
      <c r="H60" s="73">
        <f t="shared" si="1"/>
        <v>5.9005235602094235</v>
      </c>
      <c r="I60">
        <f>SUM(VLOOKUP(A60,BaseTable[[GEO.id2]:[MOE - 400% FPL and over - 65 years and over - No health insurance]],77,0),VLOOKUP(A60,BaseTable[[GEO.id2]:[MOE - 400% FPL and over - 65 years and over - No health insurance]],71,0))</f>
        <v>219</v>
      </c>
      <c r="J60">
        <f t="shared" si="2"/>
        <v>0.38219895287958117</v>
      </c>
      <c r="K60" s="73">
        <f t="shared" si="3"/>
        <v>184.60209424083772</v>
      </c>
      <c r="L60">
        <f>SUM(VLOOKUP(A60,BaseTable[[GEO.id2]:[MOE - 400% FPL and over - 65 years and over - No health insurance]],17,0),VLOOKUP(A60,BaseTable[[GEO.id2]:[MOE - 400% FPL and over - 65 years and over - No health insurance]],57,0),VLOOKUP(A60,BaseTable[[GEO.id2]:[MOE - 400% FPL and over - 65 years and over - No health insurance]],37,0))</f>
        <v>257</v>
      </c>
      <c r="M60">
        <f t="shared" si="4"/>
        <v>0.44851657940663175</v>
      </c>
      <c r="N60" s="73">
        <f t="shared" si="5"/>
        <v>216.63350785340313</v>
      </c>
    </row>
    <row r="61" spans="1:14" x14ac:dyDescent="0.3">
      <c r="A61">
        <v>20833</v>
      </c>
      <c r="B61" t="str">
        <f>VLOOKUP(A61,UninsuredTable[],3,0)</f>
        <v>Montgomery</v>
      </c>
      <c r="C61">
        <f>VLOOKUP(A61,UninsuredTable[],4,0)</f>
        <v>7492</v>
      </c>
      <c r="D61">
        <f>VLOOKUP(A61,UninsuredTable[],5,0)</f>
        <v>326</v>
      </c>
      <c r="E61" s="73">
        <v>326</v>
      </c>
      <c r="F61">
        <f>SUM(VLOOKUP(A61,BaseTable[[GEO.id2]:[MOE - 400% FPL and over - 65 years and over - No health insurance]],11,0),VLOOKUP(A61,BaseTable[[GEO.id2]:[MOE - 400% FPL and over - 65 years and over - No health insurance]],31,0),VLOOKUP(A61,BaseTable[[GEO.id2]:[MOE - 400% FPL and over - 65 years and over - No health insurance]],51,0))</f>
        <v>0</v>
      </c>
      <c r="G61">
        <f t="shared" si="0"/>
        <v>0</v>
      </c>
      <c r="H61" s="73">
        <f t="shared" si="1"/>
        <v>0</v>
      </c>
      <c r="I61">
        <f>SUM(VLOOKUP(A61,BaseTable[[GEO.id2]:[MOE - 400% FPL and over - 65 years and over - No health insurance]],77,0),VLOOKUP(A61,BaseTable[[GEO.id2]:[MOE - 400% FPL and over - 65 years and over - No health insurance]],71,0))</f>
        <v>219</v>
      </c>
      <c r="J61">
        <f t="shared" si="2"/>
        <v>0.67177914110429449</v>
      </c>
      <c r="K61" s="73">
        <f t="shared" si="3"/>
        <v>219</v>
      </c>
      <c r="L61">
        <f>SUM(VLOOKUP(A61,BaseTable[[GEO.id2]:[MOE - 400% FPL and over - 65 years and over - No health insurance]],17,0),VLOOKUP(A61,BaseTable[[GEO.id2]:[MOE - 400% FPL and over - 65 years and over - No health insurance]],57,0),VLOOKUP(A61,BaseTable[[GEO.id2]:[MOE - 400% FPL and over - 65 years and over - No health insurance]],37,0))</f>
        <v>107</v>
      </c>
      <c r="M61">
        <f t="shared" si="4"/>
        <v>0.32822085889570551</v>
      </c>
      <c r="N61" s="73">
        <f t="shared" si="5"/>
        <v>107</v>
      </c>
    </row>
    <row r="62" spans="1:14" x14ac:dyDescent="0.3">
      <c r="A62">
        <v>20841</v>
      </c>
      <c r="B62" t="str">
        <f>VLOOKUP(A62,UninsuredTable[],3,0)</f>
        <v>Montgomery</v>
      </c>
      <c r="C62">
        <f>VLOOKUP(A62,UninsuredTable[],4,0)</f>
        <v>10177</v>
      </c>
      <c r="D62">
        <f>VLOOKUP(A62,UninsuredTable[],5,0)</f>
        <v>300</v>
      </c>
      <c r="E62" s="73">
        <v>269</v>
      </c>
      <c r="F62">
        <f>SUM(VLOOKUP(A62,BaseTable[[GEO.id2]:[MOE - 400% FPL and over - 65 years and over - No health insurance]],11,0),VLOOKUP(A62,BaseTable[[GEO.id2]:[MOE - 400% FPL and over - 65 years and over - No health insurance]],31,0),VLOOKUP(A62,BaseTable[[GEO.id2]:[MOE - 400% FPL and over - 65 years and over - No health insurance]],51,0))</f>
        <v>12</v>
      </c>
      <c r="G62">
        <f t="shared" si="0"/>
        <v>0.04</v>
      </c>
      <c r="H62" s="73">
        <f t="shared" si="1"/>
        <v>10.76</v>
      </c>
      <c r="I62">
        <f>SUM(VLOOKUP(A62,BaseTable[[GEO.id2]:[MOE - 400% FPL and over - 65 years and over - No health insurance]],77,0),VLOOKUP(A62,BaseTable[[GEO.id2]:[MOE - 400% FPL and over - 65 years and over - No health insurance]],71,0))</f>
        <v>91</v>
      </c>
      <c r="J62">
        <f t="shared" si="2"/>
        <v>0.30333333333333334</v>
      </c>
      <c r="K62" s="73">
        <f t="shared" si="3"/>
        <v>81.596666666666664</v>
      </c>
      <c r="L62">
        <f>SUM(VLOOKUP(A62,BaseTable[[GEO.id2]:[MOE - 400% FPL and over - 65 years and over - No health insurance]],17,0),VLOOKUP(A62,BaseTable[[GEO.id2]:[MOE - 400% FPL and over - 65 years and over - No health insurance]],57,0),VLOOKUP(A62,BaseTable[[GEO.id2]:[MOE - 400% FPL and over - 65 years and over - No health insurance]],37,0))</f>
        <v>166</v>
      </c>
      <c r="M62">
        <f t="shared" si="4"/>
        <v>0.55333333333333334</v>
      </c>
      <c r="N62" s="73">
        <f t="shared" si="5"/>
        <v>148.84666666666666</v>
      </c>
    </row>
    <row r="63" spans="1:14" x14ac:dyDescent="0.3">
      <c r="A63">
        <v>20850</v>
      </c>
      <c r="B63" t="str">
        <f>VLOOKUP(A63,UninsuredTable[],3,0)</f>
        <v>Montgomery</v>
      </c>
      <c r="C63">
        <f>VLOOKUP(A63,UninsuredTable[],4,0)</f>
        <v>49362</v>
      </c>
      <c r="D63">
        <f>VLOOKUP(A63,UninsuredTable[],5,0)</f>
        <v>2691</v>
      </c>
      <c r="E63" s="73">
        <v>1515.2473522478265</v>
      </c>
      <c r="F63">
        <f>SUM(VLOOKUP(A63,BaseTable[[GEO.id2]:[MOE - 400% FPL and over - 65 years and over - No health insurance]],11,0),VLOOKUP(A63,BaseTable[[GEO.id2]:[MOE - 400% FPL and over - 65 years and over - No health insurance]],31,0),VLOOKUP(A63,BaseTable[[GEO.id2]:[MOE - 400% FPL and over - 65 years and over - No health insurance]],51,0))</f>
        <v>168</v>
      </c>
      <c r="G63">
        <f t="shared" si="0"/>
        <v>6.243032329988852E-2</v>
      </c>
      <c r="H63" s="73">
        <f t="shared" si="1"/>
        <v>94.597382080131865</v>
      </c>
      <c r="I63">
        <f>SUM(VLOOKUP(A63,BaseTable[[GEO.id2]:[MOE - 400% FPL and over - 65 years and over - No health insurance]],77,0),VLOOKUP(A63,BaseTable[[GEO.id2]:[MOE - 400% FPL and over - 65 years and over - No health insurance]],71,0))</f>
        <v>785</v>
      </c>
      <c r="J63">
        <f t="shared" si="2"/>
        <v>0.29171311780007431</v>
      </c>
      <c r="K63" s="73">
        <f t="shared" si="3"/>
        <v>442.01752936252092</v>
      </c>
      <c r="L63">
        <f>SUM(VLOOKUP(A63,BaseTable[[GEO.id2]:[MOE - 400% FPL and over - 65 years and over - No health insurance]],17,0),VLOOKUP(A63,BaseTable[[GEO.id2]:[MOE - 400% FPL and over - 65 years and over - No health insurance]],57,0),VLOOKUP(A63,BaseTable[[GEO.id2]:[MOE - 400% FPL and over - 65 years and over - No health insurance]],37,0))</f>
        <v>1644</v>
      </c>
      <c r="M63">
        <f t="shared" si="4"/>
        <v>0.61092530657748045</v>
      </c>
      <c r="N63" s="73">
        <f t="shared" si="5"/>
        <v>925.70295321271897</v>
      </c>
    </row>
    <row r="64" spans="1:14" x14ac:dyDescent="0.3">
      <c r="A64">
        <v>20851</v>
      </c>
      <c r="B64" t="str">
        <f>VLOOKUP(A64,UninsuredTable[],3,0)</f>
        <v>Montgomery</v>
      </c>
      <c r="C64">
        <f>VLOOKUP(A64,UninsuredTable[],4,0)</f>
        <v>14965</v>
      </c>
      <c r="D64">
        <f>VLOOKUP(A64,UninsuredTable[],5,0)</f>
        <v>3035</v>
      </c>
      <c r="E64" s="73">
        <v>1031.6494144854948</v>
      </c>
      <c r="F64">
        <f>SUM(VLOOKUP(A64,BaseTable[[GEO.id2]:[MOE - 400% FPL and over - 65 years and over - No health insurance]],11,0),VLOOKUP(A64,BaseTable[[GEO.id2]:[MOE - 400% FPL and over - 65 years and over - No health insurance]],31,0),VLOOKUP(A64,BaseTable[[GEO.id2]:[MOE - 400% FPL and over - 65 years and over - No health insurance]],51,0))</f>
        <v>287</v>
      </c>
      <c r="G64">
        <f t="shared" si="0"/>
        <v>9.4563426688632615E-2</v>
      </c>
      <c r="H64" s="73">
        <f t="shared" si="1"/>
        <v>97.55630377506985</v>
      </c>
      <c r="I64">
        <f>SUM(VLOOKUP(A64,BaseTable[[GEO.id2]:[MOE - 400% FPL and over - 65 years and over - No health insurance]],77,0),VLOOKUP(A64,BaseTable[[GEO.id2]:[MOE - 400% FPL and over - 65 years and over - No health insurance]],71,0))</f>
        <v>175</v>
      </c>
      <c r="J64">
        <f t="shared" si="2"/>
        <v>5.7660626029654036E-2</v>
      </c>
      <c r="K64" s="73">
        <f t="shared" si="3"/>
        <v>59.48555108235967</v>
      </c>
      <c r="L64">
        <f>SUM(VLOOKUP(A64,BaseTable[[GEO.id2]:[MOE - 400% FPL and over - 65 years and over - No health insurance]],17,0),VLOOKUP(A64,BaseTable[[GEO.id2]:[MOE - 400% FPL and over - 65 years and over - No health insurance]],57,0),VLOOKUP(A64,BaseTable[[GEO.id2]:[MOE - 400% FPL and over - 65 years and over - No health insurance]],37,0))</f>
        <v>2533</v>
      </c>
      <c r="M64">
        <f t="shared" si="4"/>
        <v>0.83459637561779243</v>
      </c>
      <c r="N64" s="73">
        <f t="shared" si="5"/>
        <v>861.01086223781169</v>
      </c>
    </row>
    <row r="65" spans="1:14" x14ac:dyDescent="0.3">
      <c r="A65">
        <v>20852</v>
      </c>
      <c r="B65" t="str">
        <f>VLOOKUP(A65,UninsuredTable[],3,0)</f>
        <v>Montgomery</v>
      </c>
      <c r="C65">
        <f>VLOOKUP(A65,UninsuredTable[],4,0)</f>
        <v>45569</v>
      </c>
      <c r="D65">
        <f>VLOOKUP(A65,UninsuredTable[],5,0)</f>
        <v>2531</v>
      </c>
      <c r="E65" s="73">
        <v>1159.3288093580104</v>
      </c>
      <c r="F65">
        <f>SUM(VLOOKUP(A65,BaseTable[[GEO.id2]:[MOE - 400% FPL and over - 65 years and over - No health insurance]],11,0),VLOOKUP(A65,BaseTable[[GEO.id2]:[MOE - 400% FPL and over - 65 years and over - No health insurance]],31,0),VLOOKUP(A65,BaseTable[[GEO.id2]:[MOE - 400% FPL and over - 65 years and over - No health insurance]],51,0))</f>
        <v>333</v>
      </c>
      <c r="G65">
        <f t="shared" si="0"/>
        <v>0.13156854998024498</v>
      </c>
      <c r="H65" s="73">
        <f t="shared" si="1"/>
        <v>152.53121039755729</v>
      </c>
      <c r="I65">
        <f>SUM(VLOOKUP(A65,BaseTable[[GEO.id2]:[MOE - 400% FPL and over - 65 years and over - No health insurance]],77,0),VLOOKUP(A65,BaseTable[[GEO.id2]:[MOE - 400% FPL and over - 65 years and over - No health insurance]],71,0))</f>
        <v>718</v>
      </c>
      <c r="J65">
        <f t="shared" si="2"/>
        <v>0.28368233899644407</v>
      </c>
      <c r="K65" s="73">
        <f t="shared" si="3"/>
        <v>328.88110830464296</v>
      </c>
      <c r="L65">
        <f>SUM(VLOOKUP(A65,BaseTable[[GEO.id2]:[MOE - 400% FPL and over - 65 years and over - No health insurance]],17,0),VLOOKUP(A65,BaseTable[[GEO.id2]:[MOE - 400% FPL and over - 65 years and over - No health insurance]],57,0),VLOOKUP(A65,BaseTable[[GEO.id2]:[MOE - 400% FPL and over - 65 years and over - No health insurance]],37,0))</f>
        <v>1374</v>
      </c>
      <c r="M65">
        <f t="shared" si="4"/>
        <v>0.54286843145001973</v>
      </c>
      <c r="N65" s="73">
        <f t="shared" si="5"/>
        <v>629.36301227100205</v>
      </c>
    </row>
    <row r="66" spans="1:14" x14ac:dyDescent="0.3">
      <c r="A66">
        <v>20853</v>
      </c>
      <c r="B66" t="str">
        <f>VLOOKUP(A66,UninsuredTable[],3,0)</f>
        <v>Montgomery</v>
      </c>
      <c r="C66">
        <f>VLOOKUP(A66,UninsuredTable[],4,0)</f>
        <v>30426</v>
      </c>
      <c r="D66">
        <f>VLOOKUP(A66,UninsuredTable[],5,0)</f>
        <v>2856</v>
      </c>
      <c r="E66" s="73">
        <v>1371.1319793776233</v>
      </c>
      <c r="F66">
        <f>SUM(VLOOKUP(A66,BaseTable[[GEO.id2]:[MOE - 400% FPL and over - 65 years and over - No health insurance]],11,0),VLOOKUP(A66,BaseTable[[GEO.id2]:[MOE - 400% FPL and over - 65 years and over - No health insurance]],31,0),VLOOKUP(A66,BaseTable[[GEO.id2]:[MOE - 400% FPL and over - 65 years and over - No health insurance]],51,0))</f>
        <v>160</v>
      </c>
      <c r="G66">
        <f t="shared" si="0"/>
        <v>5.6022408963585436E-2</v>
      </c>
      <c r="H66" s="73">
        <f t="shared" si="1"/>
        <v>76.814116491743604</v>
      </c>
      <c r="I66">
        <f>SUM(VLOOKUP(A66,BaseTable[[GEO.id2]:[MOE - 400% FPL and over - 65 years and over - No health insurance]],77,0),VLOOKUP(A66,BaseTable[[GEO.id2]:[MOE - 400% FPL and over - 65 years and over - No health insurance]],71,0))</f>
        <v>665</v>
      </c>
      <c r="J66">
        <f t="shared" si="2"/>
        <v>0.23284313725490197</v>
      </c>
      <c r="K66" s="73">
        <f t="shared" si="3"/>
        <v>319.25867166880937</v>
      </c>
      <c r="L66">
        <f>SUM(VLOOKUP(A66,BaseTable[[GEO.id2]:[MOE - 400% FPL and over - 65 years and over - No health insurance]],17,0),VLOOKUP(A66,BaseTable[[GEO.id2]:[MOE - 400% FPL and over - 65 years and over - No health insurance]],57,0),VLOOKUP(A66,BaseTable[[GEO.id2]:[MOE - 400% FPL and over - 65 years and over - No health insurance]],37,0))</f>
        <v>1977</v>
      </c>
      <c r="M66">
        <f t="shared" si="4"/>
        <v>0.6922268907563025</v>
      </c>
      <c r="N66" s="73">
        <f t="shared" si="5"/>
        <v>949.13442690110685</v>
      </c>
    </row>
    <row r="67" spans="1:14" x14ac:dyDescent="0.3">
      <c r="A67">
        <v>20854</v>
      </c>
      <c r="B67" t="str">
        <f>VLOOKUP(A67,UninsuredTable[],3,0)</f>
        <v>Montgomery</v>
      </c>
      <c r="C67">
        <f>VLOOKUP(A67,UninsuredTable[],4,0)</f>
        <v>49076</v>
      </c>
      <c r="D67">
        <f>VLOOKUP(A67,UninsuredTable[],5,0)</f>
        <v>1221</v>
      </c>
      <c r="E67" s="73">
        <v>452.6920838949971</v>
      </c>
      <c r="F67">
        <f>SUM(VLOOKUP(A67,BaseTable[[GEO.id2]:[MOE - 400% FPL and over - 65 years and over - No health insurance]],11,0),VLOOKUP(A67,BaseTable[[GEO.id2]:[MOE - 400% FPL and over - 65 years and over - No health insurance]],31,0),VLOOKUP(A67,BaseTable[[GEO.id2]:[MOE - 400% FPL and over - 65 years and over - No health insurance]],51,0))</f>
        <v>104</v>
      </c>
      <c r="G67">
        <f t="shared" ref="G67:G130" si="6">F67/D67</f>
        <v>8.5176085176085173E-2</v>
      </c>
      <c r="H67" s="73">
        <f t="shared" ref="H67:H130" si="7">E67*G67</f>
        <v>38.558539496379765</v>
      </c>
      <c r="I67">
        <f>SUM(VLOOKUP(A67,BaseTable[[GEO.id2]:[MOE - 400% FPL and over - 65 years and over - No health insurance]],77,0),VLOOKUP(A67,BaseTable[[GEO.id2]:[MOE - 400% FPL and over - 65 years and over - No health insurance]],71,0))</f>
        <v>643</v>
      </c>
      <c r="J67">
        <f t="shared" ref="J67:J130" si="8">I67/D67</f>
        <v>0.52661752661752659</v>
      </c>
      <c r="K67" s="73">
        <f t="shared" ref="K67:K130" si="9">E67*J67</f>
        <v>238.39558554011722</v>
      </c>
      <c r="L67">
        <f>SUM(VLOOKUP(A67,BaseTable[[GEO.id2]:[MOE - 400% FPL and over - 65 years and over - No health insurance]],17,0),VLOOKUP(A67,BaseTable[[GEO.id2]:[MOE - 400% FPL and over - 65 years and over - No health insurance]],57,0),VLOOKUP(A67,BaseTable[[GEO.id2]:[MOE - 400% FPL and over - 65 years and over - No health insurance]],37,0))</f>
        <v>291</v>
      </c>
      <c r="M67">
        <f t="shared" ref="M67:M130" si="10">L67/D67</f>
        <v>0.23832923832923833</v>
      </c>
      <c r="N67" s="73">
        <f t="shared" ref="N67:N130" si="11">E67*M67</f>
        <v>107.88975955237032</v>
      </c>
    </row>
    <row r="68" spans="1:14" x14ac:dyDescent="0.3">
      <c r="A68">
        <v>20855</v>
      </c>
      <c r="B68" t="str">
        <f>VLOOKUP(A68,UninsuredTable[],3,0)</f>
        <v>Montgomery</v>
      </c>
      <c r="C68">
        <f>VLOOKUP(A68,UninsuredTable[],4,0)</f>
        <v>14376</v>
      </c>
      <c r="D68">
        <f>VLOOKUP(A68,UninsuredTable[],5,0)</f>
        <v>800</v>
      </c>
      <c r="E68" s="73">
        <v>758</v>
      </c>
      <c r="F68">
        <f>SUM(VLOOKUP(A68,BaseTable[[GEO.id2]:[MOE - 400% FPL and over - 65 years and over - No health insurance]],11,0),VLOOKUP(A68,BaseTable[[GEO.id2]:[MOE - 400% FPL and over - 65 years and over - No health insurance]],31,0),VLOOKUP(A68,BaseTable[[GEO.id2]:[MOE - 400% FPL and over - 65 years and over - No health insurance]],51,0))</f>
        <v>83</v>
      </c>
      <c r="G68">
        <f t="shared" si="6"/>
        <v>0.10375</v>
      </c>
      <c r="H68" s="73">
        <f t="shared" si="7"/>
        <v>78.642499999999998</v>
      </c>
      <c r="I68">
        <f>SUM(VLOOKUP(A68,BaseTable[[GEO.id2]:[MOE - 400% FPL and over - 65 years and over - No health insurance]],77,0),VLOOKUP(A68,BaseTable[[GEO.id2]:[MOE - 400% FPL and over - 65 years and over - No health insurance]],71,0))</f>
        <v>178</v>
      </c>
      <c r="J68">
        <f t="shared" si="8"/>
        <v>0.2225</v>
      </c>
      <c r="K68" s="73">
        <f t="shared" si="9"/>
        <v>168.655</v>
      </c>
      <c r="L68">
        <f>SUM(VLOOKUP(A68,BaseTable[[GEO.id2]:[MOE - 400% FPL and over - 65 years and over - No health insurance]],17,0),VLOOKUP(A68,BaseTable[[GEO.id2]:[MOE - 400% FPL and over - 65 years and over - No health insurance]],57,0),VLOOKUP(A68,BaseTable[[GEO.id2]:[MOE - 400% FPL and over - 65 years and over - No health insurance]],37,0))</f>
        <v>497</v>
      </c>
      <c r="M68">
        <f t="shared" si="10"/>
        <v>0.62124999999999997</v>
      </c>
      <c r="N68" s="73">
        <f t="shared" si="11"/>
        <v>470.90749999999997</v>
      </c>
    </row>
    <row r="69" spans="1:14" x14ac:dyDescent="0.3">
      <c r="A69">
        <v>20866</v>
      </c>
      <c r="B69" t="str">
        <f>VLOOKUP(A69,UninsuredTable[],3,0)</f>
        <v>Montgomery</v>
      </c>
      <c r="C69">
        <f>VLOOKUP(A69,UninsuredTable[],4,0)</f>
        <v>15388</v>
      </c>
      <c r="D69">
        <f>VLOOKUP(A69,UninsuredTable[],5,0)</f>
        <v>1520</v>
      </c>
      <c r="E69" s="73">
        <v>749.78994052220366</v>
      </c>
      <c r="F69">
        <f>SUM(VLOOKUP(A69,BaseTable[[GEO.id2]:[MOE - 400% FPL and over - 65 years and over - No health insurance]],11,0),VLOOKUP(A69,BaseTable[[GEO.id2]:[MOE - 400% FPL and over - 65 years and over - No health insurance]],31,0),VLOOKUP(A69,BaseTable[[GEO.id2]:[MOE - 400% FPL and over - 65 years and over - No health insurance]],51,0))</f>
        <v>342</v>
      </c>
      <c r="G69">
        <f t="shared" si="6"/>
        <v>0.22500000000000001</v>
      </c>
      <c r="H69" s="73">
        <f t="shared" si="7"/>
        <v>168.70273661749582</v>
      </c>
      <c r="I69">
        <f>SUM(VLOOKUP(A69,BaseTable[[GEO.id2]:[MOE - 400% FPL and over - 65 years and over - No health insurance]],77,0),VLOOKUP(A69,BaseTable[[GEO.id2]:[MOE - 400% FPL and over - 65 years and over - No health insurance]],71,0))</f>
        <v>149</v>
      </c>
      <c r="J69">
        <f t="shared" si="8"/>
        <v>9.8026315789473684E-2</v>
      </c>
      <c r="K69" s="73">
        <f t="shared" si="9"/>
        <v>73.499145485400234</v>
      </c>
      <c r="L69">
        <f>SUM(VLOOKUP(A69,BaseTable[[GEO.id2]:[MOE - 400% FPL and over - 65 years and over - No health insurance]],17,0),VLOOKUP(A69,BaseTable[[GEO.id2]:[MOE - 400% FPL and over - 65 years and over - No health insurance]],57,0),VLOOKUP(A69,BaseTable[[GEO.id2]:[MOE - 400% FPL and over - 65 years and over - No health insurance]],37,0))</f>
        <v>931</v>
      </c>
      <c r="M69">
        <f t="shared" si="10"/>
        <v>0.61250000000000004</v>
      </c>
      <c r="N69" s="73">
        <f t="shared" si="11"/>
        <v>459.2463385698498</v>
      </c>
    </row>
    <row r="70" spans="1:14" x14ac:dyDescent="0.3">
      <c r="A70">
        <v>20871</v>
      </c>
      <c r="B70" t="str">
        <f>VLOOKUP(A70,UninsuredTable[],3,0)</f>
        <v>Montgomery</v>
      </c>
      <c r="C70">
        <f>VLOOKUP(A70,UninsuredTable[],4,0)</f>
        <v>20296</v>
      </c>
      <c r="D70">
        <f>VLOOKUP(A70,UninsuredTable[],5,0)</f>
        <v>985</v>
      </c>
      <c r="E70" s="73">
        <v>947</v>
      </c>
      <c r="F70">
        <f>SUM(VLOOKUP(A70,BaseTable[[GEO.id2]:[MOE - 400% FPL and over - 65 years and over - No health insurance]],11,0),VLOOKUP(A70,BaseTable[[GEO.id2]:[MOE - 400% FPL and over - 65 years and over - No health insurance]],31,0),VLOOKUP(A70,BaseTable[[GEO.id2]:[MOE - 400% FPL and over - 65 years and over - No health insurance]],51,0))</f>
        <v>40</v>
      </c>
      <c r="G70">
        <f t="shared" si="6"/>
        <v>4.060913705583756E-2</v>
      </c>
      <c r="H70" s="73">
        <f t="shared" si="7"/>
        <v>38.45685279187817</v>
      </c>
      <c r="I70">
        <f>SUM(VLOOKUP(A70,BaseTable[[GEO.id2]:[MOE - 400% FPL and over - 65 years and over - No health insurance]],77,0),VLOOKUP(A70,BaseTable[[GEO.id2]:[MOE - 400% FPL and over - 65 years and over - No health insurance]],71,0))</f>
        <v>549</v>
      </c>
      <c r="J70">
        <f t="shared" si="8"/>
        <v>0.55736040609137061</v>
      </c>
      <c r="K70" s="73">
        <f t="shared" si="9"/>
        <v>527.82030456852794</v>
      </c>
      <c r="L70">
        <f>SUM(VLOOKUP(A70,BaseTable[[GEO.id2]:[MOE - 400% FPL and over - 65 years and over - No health insurance]],17,0),VLOOKUP(A70,BaseTable[[GEO.id2]:[MOE - 400% FPL and over - 65 years and over - No health insurance]],57,0),VLOOKUP(A70,BaseTable[[GEO.id2]:[MOE - 400% FPL and over - 65 years and over - No health insurance]],37,0))</f>
        <v>358</v>
      </c>
      <c r="M70">
        <f t="shared" si="10"/>
        <v>0.36345177664974621</v>
      </c>
      <c r="N70" s="73">
        <f t="shared" si="11"/>
        <v>344.18883248730964</v>
      </c>
    </row>
    <row r="71" spans="1:14" x14ac:dyDescent="0.3">
      <c r="A71">
        <v>20872</v>
      </c>
      <c r="B71" t="str">
        <f>VLOOKUP(A71,UninsuredTable[],3,0)</f>
        <v>Montgomery</v>
      </c>
      <c r="C71">
        <f>VLOOKUP(A71,UninsuredTable[],4,0)</f>
        <v>13205</v>
      </c>
      <c r="D71">
        <f>VLOOKUP(A71,UninsuredTable[],5,0)</f>
        <v>389</v>
      </c>
      <c r="E71" s="73">
        <v>389</v>
      </c>
      <c r="F71">
        <f>SUM(VLOOKUP(A71,BaseTable[[GEO.id2]:[MOE - 400% FPL and over - 65 years and over - No health insurance]],11,0),VLOOKUP(A71,BaseTable[[GEO.id2]:[MOE - 400% FPL and over - 65 years and over - No health insurance]],31,0),VLOOKUP(A71,BaseTable[[GEO.id2]:[MOE - 400% FPL and over - 65 years and over - No health insurance]],51,0))</f>
        <v>32</v>
      </c>
      <c r="G71">
        <f t="shared" si="6"/>
        <v>8.2262210796915161E-2</v>
      </c>
      <c r="H71" s="73">
        <f t="shared" si="7"/>
        <v>31.999999999999996</v>
      </c>
      <c r="I71">
        <f>SUM(VLOOKUP(A71,BaseTable[[GEO.id2]:[MOE - 400% FPL and over - 65 years and over - No health insurance]],77,0),VLOOKUP(A71,BaseTable[[GEO.id2]:[MOE - 400% FPL and over - 65 years and over - No health insurance]],71,0))</f>
        <v>135</v>
      </c>
      <c r="J71">
        <f t="shared" si="8"/>
        <v>0.34704370179948585</v>
      </c>
      <c r="K71" s="73">
        <f t="shared" si="9"/>
        <v>135</v>
      </c>
      <c r="L71">
        <f>SUM(VLOOKUP(A71,BaseTable[[GEO.id2]:[MOE - 400% FPL and over - 65 years and over - No health insurance]],17,0),VLOOKUP(A71,BaseTable[[GEO.id2]:[MOE - 400% FPL and over - 65 years and over - No health insurance]],57,0),VLOOKUP(A71,BaseTable[[GEO.id2]:[MOE - 400% FPL and over - 65 years and over - No health insurance]],37,0))</f>
        <v>222</v>
      </c>
      <c r="M71">
        <f t="shared" si="10"/>
        <v>0.57069408740359895</v>
      </c>
      <c r="N71" s="73">
        <f t="shared" si="11"/>
        <v>222</v>
      </c>
    </row>
    <row r="72" spans="1:14" x14ac:dyDescent="0.3">
      <c r="A72">
        <v>20874</v>
      </c>
      <c r="B72" t="str">
        <f>VLOOKUP(A72,UninsuredTable[],3,0)</f>
        <v>Montgomery</v>
      </c>
      <c r="C72">
        <f>VLOOKUP(A72,UninsuredTable[],4,0)</f>
        <v>60509</v>
      </c>
      <c r="D72">
        <f>VLOOKUP(A72,UninsuredTable[],5,0)</f>
        <v>4529</v>
      </c>
      <c r="E72" s="73">
        <v>2491.1198666061882</v>
      </c>
      <c r="F72">
        <f>SUM(VLOOKUP(A72,BaseTable[[GEO.id2]:[MOE - 400% FPL and over - 65 years and over - No health insurance]],11,0),VLOOKUP(A72,BaseTable[[GEO.id2]:[MOE - 400% FPL and over - 65 years and over - No health insurance]],31,0),VLOOKUP(A72,BaseTable[[GEO.id2]:[MOE - 400% FPL and over - 65 years and over - No health insurance]],51,0))</f>
        <v>580</v>
      </c>
      <c r="G72">
        <f t="shared" si="6"/>
        <v>0.12806359019651137</v>
      </c>
      <c r="H72" s="73">
        <f t="shared" si="7"/>
        <v>319.02175372744296</v>
      </c>
      <c r="I72">
        <f>SUM(VLOOKUP(A72,BaseTable[[GEO.id2]:[MOE - 400% FPL and over - 65 years and over - No health insurance]],77,0),VLOOKUP(A72,BaseTable[[GEO.id2]:[MOE - 400% FPL and over - 65 years and over - No health insurance]],71,0))</f>
        <v>928</v>
      </c>
      <c r="J72">
        <f t="shared" si="8"/>
        <v>0.20490174431441818</v>
      </c>
      <c r="K72" s="73">
        <f t="shared" si="9"/>
        <v>510.43480596390873</v>
      </c>
      <c r="L72">
        <f>SUM(VLOOKUP(A72,BaseTable[[GEO.id2]:[MOE - 400% FPL and over - 65 years and over - No health insurance]],17,0),VLOOKUP(A72,BaseTable[[GEO.id2]:[MOE - 400% FPL and over - 65 years and over - No health insurance]],57,0),VLOOKUP(A72,BaseTable[[GEO.id2]:[MOE - 400% FPL and over - 65 years and over - No health insurance]],37,0))</f>
        <v>2929</v>
      </c>
      <c r="M72">
        <f t="shared" si="10"/>
        <v>0.64672113049238245</v>
      </c>
      <c r="N72" s="73">
        <f t="shared" si="11"/>
        <v>1611.0598563235869</v>
      </c>
    </row>
    <row r="73" spans="1:14" x14ac:dyDescent="0.3">
      <c r="A73">
        <v>20876</v>
      </c>
      <c r="B73" t="str">
        <f>VLOOKUP(A73,UninsuredTable[],3,0)</f>
        <v>Montgomery</v>
      </c>
      <c r="C73">
        <f>VLOOKUP(A73,UninsuredTable[],4,0)</f>
        <v>27280</v>
      </c>
      <c r="D73">
        <f>VLOOKUP(A73,UninsuredTable[],5,0)</f>
        <v>2442</v>
      </c>
      <c r="E73" s="73">
        <v>1173.9157600189103</v>
      </c>
      <c r="F73">
        <f>SUM(VLOOKUP(A73,BaseTable[[GEO.id2]:[MOE - 400% FPL and over - 65 years and over - No health insurance]],11,0),VLOOKUP(A73,BaseTable[[GEO.id2]:[MOE - 400% FPL and over - 65 years and over - No health insurance]],31,0),VLOOKUP(A73,BaseTable[[GEO.id2]:[MOE - 400% FPL and over - 65 years and over - No health insurance]],51,0))</f>
        <v>165</v>
      </c>
      <c r="G73">
        <f t="shared" si="6"/>
        <v>6.7567567567567571E-2</v>
      </c>
      <c r="H73" s="73">
        <f t="shared" si="7"/>
        <v>79.318632433710164</v>
      </c>
      <c r="I73">
        <f>SUM(VLOOKUP(A73,BaseTable[[GEO.id2]:[MOE - 400% FPL and over - 65 years and over - No health insurance]],77,0),VLOOKUP(A73,BaseTable[[GEO.id2]:[MOE - 400% FPL and over - 65 years and over - No health insurance]],71,0))</f>
        <v>390</v>
      </c>
      <c r="J73">
        <f t="shared" si="8"/>
        <v>0.15970515970515969</v>
      </c>
      <c r="K73" s="73">
        <f t="shared" si="9"/>
        <v>187.480403934224</v>
      </c>
      <c r="L73">
        <f>SUM(VLOOKUP(A73,BaseTable[[GEO.id2]:[MOE - 400% FPL and over - 65 years and over - No health insurance]],17,0),VLOOKUP(A73,BaseTable[[GEO.id2]:[MOE - 400% FPL and over - 65 years and over - No health insurance]],57,0),VLOOKUP(A73,BaseTable[[GEO.id2]:[MOE - 400% FPL and over - 65 years and over - No health insurance]],37,0))</f>
        <v>1736</v>
      </c>
      <c r="M73">
        <f t="shared" si="10"/>
        <v>0.71089271089271089</v>
      </c>
      <c r="N73" s="73">
        <f t="shared" si="11"/>
        <v>834.52815699952021</v>
      </c>
    </row>
    <row r="74" spans="1:14" x14ac:dyDescent="0.3">
      <c r="A74">
        <v>20877</v>
      </c>
      <c r="B74" t="str">
        <f>VLOOKUP(A74,UninsuredTable[],3,0)</f>
        <v>Montgomery</v>
      </c>
      <c r="C74">
        <f>VLOOKUP(A74,UninsuredTable[],4,0)</f>
        <v>38162</v>
      </c>
      <c r="D74">
        <f>VLOOKUP(A74,UninsuredTable[],5,0)</f>
        <v>7178</v>
      </c>
      <c r="E74" s="73">
        <v>2824.6207309827573</v>
      </c>
      <c r="F74">
        <f>SUM(VLOOKUP(A74,BaseTable[[GEO.id2]:[MOE - 400% FPL and over - 65 years and over - No health insurance]],11,0),VLOOKUP(A74,BaseTable[[GEO.id2]:[MOE - 400% FPL and over - 65 years and over - No health insurance]],31,0),VLOOKUP(A74,BaseTable[[GEO.id2]:[MOE - 400% FPL and over - 65 years and over - No health insurance]],51,0))</f>
        <v>522</v>
      </c>
      <c r="G74">
        <f t="shared" si="6"/>
        <v>7.2722206742825299E-2</v>
      </c>
      <c r="H74" s="73">
        <f t="shared" si="7"/>
        <v>205.41265276859841</v>
      </c>
      <c r="I74">
        <f>SUM(VLOOKUP(A74,BaseTable[[GEO.id2]:[MOE - 400% FPL and over - 65 years and over - No health insurance]],77,0),VLOOKUP(A74,BaseTable[[GEO.id2]:[MOE - 400% FPL and over - 65 years and over - No health insurance]],71,0))</f>
        <v>816</v>
      </c>
      <c r="J74">
        <f t="shared" si="8"/>
        <v>0.11368069100027862</v>
      </c>
      <c r="K74" s="73">
        <f t="shared" si="9"/>
        <v>321.10483651183199</v>
      </c>
      <c r="L74">
        <f>SUM(VLOOKUP(A74,BaseTable[[GEO.id2]:[MOE - 400% FPL and over - 65 years and over - No health insurance]],17,0),VLOOKUP(A74,BaseTable[[GEO.id2]:[MOE - 400% FPL and over - 65 years and over - No health insurance]],57,0),VLOOKUP(A74,BaseTable[[GEO.id2]:[MOE - 400% FPL and over - 65 years and over - No health insurance]],37,0))</f>
        <v>5671</v>
      </c>
      <c r="M74">
        <f t="shared" si="10"/>
        <v>0.79005293953747557</v>
      </c>
      <c r="N74" s="73">
        <f t="shared" si="11"/>
        <v>2231.5999115914206</v>
      </c>
    </row>
    <row r="75" spans="1:14" x14ac:dyDescent="0.3">
      <c r="A75">
        <v>20878</v>
      </c>
      <c r="B75" t="str">
        <f>VLOOKUP(A75,UninsuredTable[],3,0)</f>
        <v>Montgomery</v>
      </c>
      <c r="C75">
        <f>VLOOKUP(A75,UninsuredTable[],4,0)</f>
        <v>64561</v>
      </c>
      <c r="D75">
        <f>VLOOKUP(A75,UninsuredTable[],5,0)</f>
        <v>3418</v>
      </c>
      <c r="E75" s="73">
        <v>1476.7174440519011</v>
      </c>
      <c r="F75">
        <f>SUM(VLOOKUP(A75,BaseTable[[GEO.id2]:[MOE - 400% FPL and over - 65 years and over - No health insurance]],11,0),VLOOKUP(A75,BaseTable[[GEO.id2]:[MOE - 400% FPL and over - 65 years and over - No health insurance]],31,0),VLOOKUP(A75,BaseTable[[GEO.id2]:[MOE - 400% FPL and over - 65 years and over - No health insurance]],51,0))</f>
        <v>493</v>
      </c>
      <c r="G75">
        <f t="shared" si="6"/>
        <v>0.14423639555295495</v>
      </c>
      <c r="H75" s="73">
        <f t="shared" si="7"/>
        <v>212.99640138021863</v>
      </c>
      <c r="I75">
        <f>SUM(VLOOKUP(A75,BaseTable[[GEO.id2]:[MOE - 400% FPL and over - 65 years and over - No health insurance]],77,0),VLOOKUP(A75,BaseTable[[GEO.id2]:[MOE - 400% FPL and over - 65 years and over - No health insurance]],71,0))</f>
        <v>635</v>
      </c>
      <c r="J75">
        <f t="shared" si="8"/>
        <v>0.18578115857226449</v>
      </c>
      <c r="K75" s="73">
        <f t="shared" si="9"/>
        <v>274.34627763983536</v>
      </c>
      <c r="L75">
        <f>SUM(VLOOKUP(A75,BaseTable[[GEO.id2]:[MOE - 400% FPL and over - 65 years and over - No health insurance]],17,0),VLOOKUP(A75,BaseTable[[GEO.id2]:[MOE - 400% FPL and over - 65 years and over - No health insurance]],57,0),VLOOKUP(A75,BaseTable[[GEO.id2]:[MOE - 400% FPL and over - 65 years and over - No health insurance]],37,0))</f>
        <v>2088</v>
      </c>
      <c r="M75">
        <f t="shared" si="10"/>
        <v>0.61088355763604452</v>
      </c>
      <c r="N75" s="73">
        <f t="shared" si="11"/>
        <v>902.10240584563189</v>
      </c>
    </row>
    <row r="76" spans="1:14" x14ac:dyDescent="0.3">
      <c r="A76">
        <v>20879</v>
      </c>
      <c r="B76" t="str">
        <f>VLOOKUP(A76,UninsuredTable[],3,0)</f>
        <v>Montgomery</v>
      </c>
      <c r="C76">
        <f>VLOOKUP(A76,UninsuredTable[],4,0)</f>
        <v>26323</v>
      </c>
      <c r="D76">
        <f>VLOOKUP(A76,UninsuredTable[],5,0)</f>
        <v>2471</v>
      </c>
      <c r="E76" s="73">
        <v>1354.2529448217265</v>
      </c>
      <c r="F76">
        <f>SUM(VLOOKUP(A76,BaseTable[[GEO.id2]:[MOE - 400% FPL and over - 65 years and over - No health insurance]],11,0),VLOOKUP(A76,BaseTable[[GEO.id2]:[MOE - 400% FPL and over - 65 years and over - No health insurance]],31,0),VLOOKUP(A76,BaseTable[[GEO.id2]:[MOE - 400% FPL and over - 65 years and over - No health insurance]],51,0))</f>
        <v>107</v>
      </c>
      <c r="G76">
        <f t="shared" si="6"/>
        <v>4.3302306758397413E-2</v>
      </c>
      <c r="H76" s="73">
        <f t="shared" si="7"/>
        <v>58.642276445133447</v>
      </c>
      <c r="I76">
        <f>SUM(VLOOKUP(A76,BaseTable[[GEO.id2]:[MOE - 400% FPL and over - 65 years and over - No health insurance]],77,0),VLOOKUP(A76,BaseTable[[GEO.id2]:[MOE - 400% FPL and over - 65 years and over - No health insurance]],71,0))</f>
        <v>650</v>
      </c>
      <c r="J76">
        <f t="shared" si="8"/>
        <v>0.26305139619587209</v>
      </c>
      <c r="K76" s="73">
        <f t="shared" si="9"/>
        <v>356.23812793772646</v>
      </c>
      <c r="L76">
        <f>SUM(VLOOKUP(A76,BaseTable[[GEO.id2]:[MOE - 400% FPL and over - 65 years and over - No health insurance]],17,0),VLOOKUP(A76,BaseTable[[GEO.id2]:[MOE - 400% FPL and over - 65 years and over - No health insurance]],57,0),VLOOKUP(A76,BaseTable[[GEO.id2]:[MOE - 400% FPL and over - 65 years and over - No health insurance]],37,0))</f>
        <v>1704</v>
      </c>
      <c r="M76">
        <f t="shared" si="10"/>
        <v>0.68959935248887094</v>
      </c>
      <c r="N76" s="73">
        <f t="shared" si="11"/>
        <v>933.89195385520929</v>
      </c>
    </row>
    <row r="77" spans="1:14" x14ac:dyDescent="0.3">
      <c r="A77">
        <v>20882</v>
      </c>
      <c r="B77" t="str">
        <f>VLOOKUP(A77,UninsuredTable[],3,0)</f>
        <v>Montgomery</v>
      </c>
      <c r="C77">
        <f>VLOOKUP(A77,UninsuredTable[],4,0)</f>
        <v>13238</v>
      </c>
      <c r="D77">
        <f>VLOOKUP(A77,UninsuredTable[],5,0)</f>
        <v>402</v>
      </c>
      <c r="E77" s="73">
        <v>402</v>
      </c>
      <c r="F77">
        <f>SUM(VLOOKUP(A77,BaseTable[[GEO.id2]:[MOE - 400% FPL and over - 65 years and over - No health insurance]],11,0),VLOOKUP(A77,BaseTable[[GEO.id2]:[MOE - 400% FPL and over - 65 years and over - No health insurance]],31,0),VLOOKUP(A77,BaseTable[[GEO.id2]:[MOE - 400% FPL and over - 65 years and over - No health insurance]],51,0))</f>
        <v>20</v>
      </c>
      <c r="G77">
        <f t="shared" si="6"/>
        <v>4.975124378109453E-2</v>
      </c>
      <c r="H77" s="73">
        <f t="shared" si="7"/>
        <v>20</v>
      </c>
      <c r="I77">
        <f>SUM(VLOOKUP(A77,BaseTable[[GEO.id2]:[MOE - 400% FPL and over - 65 years and over - No health insurance]],77,0),VLOOKUP(A77,BaseTable[[GEO.id2]:[MOE - 400% FPL and over - 65 years and over - No health insurance]],71,0))</f>
        <v>123</v>
      </c>
      <c r="J77">
        <f t="shared" si="8"/>
        <v>0.30597014925373134</v>
      </c>
      <c r="K77" s="73">
        <f t="shared" si="9"/>
        <v>123</v>
      </c>
      <c r="L77">
        <f>SUM(VLOOKUP(A77,BaseTable[[GEO.id2]:[MOE - 400% FPL and over - 65 years and over - No health insurance]],17,0),VLOOKUP(A77,BaseTable[[GEO.id2]:[MOE - 400% FPL and over - 65 years and over - No health insurance]],57,0),VLOOKUP(A77,BaseTable[[GEO.id2]:[MOE - 400% FPL and over - 65 years and over - No health insurance]],37,0))</f>
        <v>259</v>
      </c>
      <c r="M77">
        <f t="shared" si="10"/>
        <v>0.64427860696517414</v>
      </c>
      <c r="N77" s="73">
        <f t="shared" si="11"/>
        <v>259</v>
      </c>
    </row>
    <row r="78" spans="1:14" x14ac:dyDescent="0.3">
      <c r="A78">
        <v>20886</v>
      </c>
      <c r="B78" t="str">
        <f>VLOOKUP(A78,UninsuredTable[],3,0)</f>
        <v>Montgomery</v>
      </c>
      <c r="C78">
        <f>VLOOKUP(A78,UninsuredTable[],4,0)</f>
        <v>34408</v>
      </c>
      <c r="D78">
        <f>VLOOKUP(A78,UninsuredTable[],5,0)</f>
        <v>4004</v>
      </c>
      <c r="E78" s="73">
        <v>1863.6641389135564</v>
      </c>
      <c r="F78">
        <f>SUM(VLOOKUP(A78,BaseTable[[GEO.id2]:[MOE - 400% FPL and over - 65 years and over - No health insurance]],11,0),VLOOKUP(A78,BaseTable[[GEO.id2]:[MOE - 400% FPL and over - 65 years and over - No health insurance]],31,0),VLOOKUP(A78,BaseTable[[GEO.id2]:[MOE - 400% FPL and over - 65 years and over - No health insurance]],51,0))</f>
        <v>394</v>
      </c>
      <c r="G78">
        <f t="shared" si="6"/>
        <v>9.84015984015984E-2</v>
      </c>
      <c r="H78" s="73">
        <f t="shared" si="7"/>
        <v>183.38753015283245</v>
      </c>
      <c r="I78">
        <f>SUM(VLOOKUP(A78,BaseTable[[GEO.id2]:[MOE - 400% FPL and over - 65 years and over - No health insurance]],77,0),VLOOKUP(A78,BaseTable[[GEO.id2]:[MOE - 400% FPL and over - 65 years and over - No health insurance]],71,0))</f>
        <v>695</v>
      </c>
      <c r="J78">
        <f t="shared" si="8"/>
        <v>0.17357642357642358</v>
      </c>
      <c r="K78" s="73">
        <f t="shared" si="9"/>
        <v>323.48815598025016</v>
      </c>
      <c r="L78">
        <f>SUM(VLOOKUP(A78,BaseTable[[GEO.id2]:[MOE - 400% FPL and over - 65 years and over - No health insurance]],17,0),VLOOKUP(A78,BaseTable[[GEO.id2]:[MOE - 400% FPL and over - 65 years and over - No health insurance]],57,0),VLOOKUP(A78,BaseTable[[GEO.id2]:[MOE - 400% FPL and over - 65 years and over - No health insurance]],37,0))</f>
        <v>2892</v>
      </c>
      <c r="M78">
        <f t="shared" si="10"/>
        <v>0.72227772227772225</v>
      </c>
      <c r="N78" s="73">
        <f t="shared" si="11"/>
        <v>1346.0830893451559</v>
      </c>
    </row>
    <row r="79" spans="1:14" x14ac:dyDescent="0.3">
      <c r="A79">
        <v>20895</v>
      </c>
      <c r="B79" t="str">
        <f>VLOOKUP(A79,UninsuredTable[],3,0)</f>
        <v>Montgomery</v>
      </c>
      <c r="C79">
        <f>VLOOKUP(A79,UninsuredTable[],4,0)</f>
        <v>19332</v>
      </c>
      <c r="D79">
        <f>VLOOKUP(A79,UninsuredTable[],5,0)</f>
        <v>842</v>
      </c>
      <c r="E79" s="73">
        <v>807</v>
      </c>
      <c r="F79">
        <f>SUM(VLOOKUP(A79,BaseTable[[GEO.id2]:[MOE - 400% FPL and over - 65 years and over - No health insurance]],11,0),VLOOKUP(A79,BaseTable[[GEO.id2]:[MOE - 400% FPL and over - 65 years and over - No health insurance]],31,0),VLOOKUP(A79,BaseTable[[GEO.id2]:[MOE - 400% FPL and over - 65 years and over - No health insurance]],51,0))</f>
        <v>64</v>
      </c>
      <c r="G79">
        <f t="shared" si="6"/>
        <v>7.6009501187648459E-2</v>
      </c>
      <c r="H79" s="73">
        <f t="shared" si="7"/>
        <v>61.339667458432309</v>
      </c>
      <c r="I79">
        <f>SUM(VLOOKUP(A79,BaseTable[[GEO.id2]:[MOE - 400% FPL and over - 65 years and over - No health insurance]],77,0),VLOOKUP(A79,BaseTable[[GEO.id2]:[MOE - 400% FPL and over - 65 years and over - No health insurance]],71,0))</f>
        <v>232</v>
      </c>
      <c r="J79">
        <f t="shared" si="8"/>
        <v>0.27553444180522563</v>
      </c>
      <c r="K79" s="73">
        <f t="shared" si="9"/>
        <v>222.35629453681707</v>
      </c>
      <c r="L79">
        <f>SUM(VLOOKUP(A79,BaseTable[[GEO.id2]:[MOE - 400% FPL and over - 65 years and over - No health insurance]],17,0),VLOOKUP(A79,BaseTable[[GEO.id2]:[MOE - 400% FPL and over - 65 years and over - No health insurance]],57,0),VLOOKUP(A79,BaseTable[[GEO.id2]:[MOE - 400% FPL and over - 65 years and over - No health insurance]],37,0))</f>
        <v>511</v>
      </c>
      <c r="M79">
        <f t="shared" si="10"/>
        <v>0.60688836104513066</v>
      </c>
      <c r="N79" s="73">
        <f t="shared" si="11"/>
        <v>489.75890736342046</v>
      </c>
    </row>
    <row r="80" spans="1:14" x14ac:dyDescent="0.3">
      <c r="A80">
        <v>20901</v>
      </c>
      <c r="B80" t="str">
        <f>VLOOKUP(A80,UninsuredTable[],3,0)</f>
        <v>Montgomery</v>
      </c>
      <c r="C80">
        <f>VLOOKUP(A80,UninsuredTable[],4,0)</f>
        <v>36585</v>
      </c>
      <c r="D80">
        <f>VLOOKUP(A80,UninsuredTable[],5,0)</f>
        <v>4334</v>
      </c>
      <c r="E80" s="73">
        <v>2064.0333842291207</v>
      </c>
      <c r="F80">
        <f>SUM(VLOOKUP(A80,BaseTable[[GEO.id2]:[MOE - 400% FPL and over - 65 years and over - No health insurance]],11,0),VLOOKUP(A80,BaseTable[[GEO.id2]:[MOE - 400% FPL and over - 65 years and over - No health insurance]],31,0),VLOOKUP(A80,BaseTable[[GEO.id2]:[MOE - 400% FPL and over - 65 years and over - No health insurance]],51,0))</f>
        <v>383</v>
      </c>
      <c r="G80">
        <f t="shared" si="6"/>
        <v>8.8371019843101056E-2</v>
      </c>
      <c r="H80" s="73">
        <f t="shared" si="7"/>
        <v>182.40073515453466</v>
      </c>
      <c r="I80">
        <f>SUM(VLOOKUP(A80,BaseTable[[GEO.id2]:[MOE - 400% FPL and over - 65 years and over - No health insurance]],77,0),VLOOKUP(A80,BaseTable[[GEO.id2]:[MOE - 400% FPL and over - 65 years and over - No health insurance]],71,0))</f>
        <v>538</v>
      </c>
      <c r="J80">
        <f t="shared" si="8"/>
        <v>0.12413474850023073</v>
      </c>
      <c r="K80" s="73">
        <f t="shared" si="9"/>
        <v>256.21826504736202</v>
      </c>
      <c r="L80">
        <f>SUM(VLOOKUP(A80,BaseTable[[GEO.id2]:[MOE - 400% FPL and over - 65 years and over - No health insurance]],17,0),VLOOKUP(A80,BaseTable[[GEO.id2]:[MOE - 400% FPL and over - 65 years and over - No health insurance]],57,0),VLOOKUP(A80,BaseTable[[GEO.id2]:[MOE - 400% FPL and over - 65 years and over - No health insurance]],37,0))</f>
        <v>3328</v>
      </c>
      <c r="M80">
        <f t="shared" si="10"/>
        <v>0.76788186432856487</v>
      </c>
      <c r="N80" s="73">
        <f t="shared" si="11"/>
        <v>1584.9338031182542</v>
      </c>
    </row>
    <row r="81" spans="1:14" x14ac:dyDescent="0.3">
      <c r="A81">
        <v>20902</v>
      </c>
      <c r="B81" t="str">
        <f>VLOOKUP(A81,UninsuredTable[],3,0)</f>
        <v>Montgomery</v>
      </c>
      <c r="C81">
        <f>VLOOKUP(A81,UninsuredTable[],4,0)</f>
        <v>52116</v>
      </c>
      <c r="D81">
        <f>VLOOKUP(A81,UninsuredTable[],5,0)</f>
        <v>8420</v>
      </c>
      <c r="E81" s="73">
        <v>3655.4099240396349</v>
      </c>
      <c r="F81">
        <f>SUM(VLOOKUP(A81,BaseTable[[GEO.id2]:[MOE - 400% FPL and over - 65 years and over - No health insurance]],11,0),VLOOKUP(A81,BaseTable[[GEO.id2]:[MOE - 400% FPL and over - 65 years and over - No health insurance]],31,0),VLOOKUP(A81,BaseTable[[GEO.id2]:[MOE - 400% FPL and over - 65 years and over - No health insurance]],51,0))</f>
        <v>844</v>
      </c>
      <c r="G81">
        <f t="shared" si="6"/>
        <v>0.1002375296912114</v>
      </c>
      <c r="H81" s="73">
        <f t="shared" si="7"/>
        <v>366.40926079447172</v>
      </c>
      <c r="I81">
        <f>SUM(VLOOKUP(A81,BaseTable[[GEO.id2]:[MOE - 400% FPL and over - 65 years and over - No health insurance]],77,0),VLOOKUP(A81,BaseTable[[GEO.id2]:[MOE - 400% FPL and over - 65 years and over - No health insurance]],71,0))</f>
        <v>1431</v>
      </c>
      <c r="J81">
        <f t="shared" si="8"/>
        <v>0.16995249406175772</v>
      </c>
      <c r="K81" s="73">
        <f t="shared" si="9"/>
        <v>621.24603340863632</v>
      </c>
      <c r="L81">
        <f>SUM(VLOOKUP(A81,BaseTable[[GEO.id2]:[MOE - 400% FPL and over - 65 years and over - No health insurance]],17,0),VLOOKUP(A81,BaseTable[[GEO.id2]:[MOE - 400% FPL and over - 65 years and over - No health insurance]],57,0),VLOOKUP(A81,BaseTable[[GEO.id2]:[MOE - 400% FPL and over - 65 years and over - No health insurance]],37,0))</f>
        <v>6098</v>
      </c>
      <c r="M81">
        <f t="shared" si="10"/>
        <v>0.72422802850356294</v>
      </c>
      <c r="N81" s="73">
        <f t="shared" si="11"/>
        <v>2647.3503226595835</v>
      </c>
    </row>
    <row r="82" spans="1:14" x14ac:dyDescent="0.3">
      <c r="A82">
        <v>20903</v>
      </c>
      <c r="B82" t="str">
        <f>VLOOKUP(A82,UninsuredTable[],3,0)</f>
        <v>Montgomery</v>
      </c>
      <c r="C82">
        <f>VLOOKUP(A82,UninsuredTable[],4,0)</f>
        <v>25930</v>
      </c>
      <c r="D82">
        <f>VLOOKUP(A82,UninsuredTable[],5,0)</f>
        <v>6511</v>
      </c>
      <c r="E82" s="73">
        <v>2107.6363919784835</v>
      </c>
      <c r="F82">
        <f>SUM(VLOOKUP(A82,BaseTable[[GEO.id2]:[MOE - 400% FPL and over - 65 years and over - No health insurance]],11,0),VLOOKUP(A82,BaseTable[[GEO.id2]:[MOE - 400% FPL and over - 65 years and over - No health insurance]],31,0),VLOOKUP(A82,BaseTable[[GEO.id2]:[MOE - 400% FPL and over - 65 years and over - No health insurance]],51,0))</f>
        <v>516</v>
      </c>
      <c r="G82">
        <f t="shared" si="6"/>
        <v>7.9250499155275683E-2</v>
      </c>
      <c r="H82" s="73">
        <f t="shared" si="7"/>
        <v>167.0312361021191</v>
      </c>
      <c r="I82">
        <f>SUM(VLOOKUP(A82,BaseTable[[GEO.id2]:[MOE - 400% FPL and over - 65 years and over - No health insurance]],77,0),VLOOKUP(A82,BaseTable[[GEO.id2]:[MOE - 400% FPL and over - 65 years and over - No health insurance]],71,0))</f>
        <v>637</v>
      </c>
      <c r="J82">
        <f t="shared" si="8"/>
        <v>9.7834434034710496E-2</v>
      </c>
      <c r="K82" s="73">
        <f t="shared" si="9"/>
        <v>206.19941356017418</v>
      </c>
      <c r="L82">
        <f>SUM(VLOOKUP(A82,BaseTable[[GEO.id2]:[MOE - 400% FPL and over - 65 years and over - No health insurance]],17,0),VLOOKUP(A82,BaseTable[[GEO.id2]:[MOE - 400% FPL and over - 65 years and over - No health insurance]],57,0),VLOOKUP(A82,BaseTable[[GEO.id2]:[MOE - 400% FPL and over - 65 years and over - No health insurance]],37,0))</f>
        <v>5293</v>
      </c>
      <c r="M82">
        <f t="shared" si="10"/>
        <v>0.81293196129626788</v>
      </c>
      <c r="N82" s="73">
        <f t="shared" si="11"/>
        <v>1713.3649858304582</v>
      </c>
    </row>
    <row r="83" spans="1:14" x14ac:dyDescent="0.3">
      <c r="A83">
        <v>20904</v>
      </c>
      <c r="B83" t="str">
        <f>VLOOKUP(A83,UninsuredTable[],3,0)</f>
        <v>Montgomery</v>
      </c>
      <c r="C83">
        <f>VLOOKUP(A83,UninsuredTable[],4,0)</f>
        <v>57070</v>
      </c>
      <c r="D83">
        <f>VLOOKUP(A83,UninsuredTable[],5,0)</f>
        <v>6060</v>
      </c>
      <c r="E83" s="73">
        <v>3234.9332941499661</v>
      </c>
      <c r="F83">
        <f>SUM(VLOOKUP(A83,BaseTable[[GEO.id2]:[MOE - 400% FPL and over - 65 years and over - No health insurance]],11,0),VLOOKUP(A83,BaseTable[[GEO.id2]:[MOE - 400% FPL and over - 65 years and over - No health insurance]],31,0),VLOOKUP(A83,BaseTable[[GEO.id2]:[MOE - 400% FPL and over - 65 years and over - No health insurance]],51,0))</f>
        <v>295</v>
      </c>
      <c r="G83">
        <f t="shared" si="6"/>
        <v>4.8679867986798679E-2</v>
      </c>
      <c r="H83" s="73">
        <f t="shared" si="7"/>
        <v>157.47612570532013</v>
      </c>
      <c r="I83">
        <f>SUM(VLOOKUP(A83,BaseTable[[GEO.id2]:[MOE - 400% FPL and over - 65 years and over - No health insurance]],77,0),VLOOKUP(A83,BaseTable[[GEO.id2]:[MOE - 400% FPL and over - 65 years and over - No health insurance]],71,0))</f>
        <v>1053</v>
      </c>
      <c r="J83">
        <f t="shared" si="8"/>
        <v>0.17376237623762375</v>
      </c>
      <c r="K83" s="73">
        <f t="shared" si="9"/>
        <v>562.109696161702</v>
      </c>
      <c r="L83">
        <f>SUM(VLOOKUP(A83,BaseTable[[GEO.id2]:[MOE - 400% FPL and over - 65 years and over - No health insurance]],17,0),VLOOKUP(A83,BaseTable[[GEO.id2]:[MOE - 400% FPL and over - 65 years and over - No health insurance]],57,0),VLOOKUP(A83,BaseTable[[GEO.id2]:[MOE - 400% FPL and over - 65 years and over - No health insurance]],37,0))</f>
        <v>4627</v>
      </c>
      <c r="M83">
        <f t="shared" si="10"/>
        <v>0.76353135313531351</v>
      </c>
      <c r="N83" s="73">
        <f t="shared" si="11"/>
        <v>2469.9729953848009</v>
      </c>
    </row>
    <row r="84" spans="1:14" x14ac:dyDescent="0.3">
      <c r="A84">
        <v>20905</v>
      </c>
      <c r="B84" t="str">
        <f>VLOOKUP(A84,UninsuredTable[],3,0)</f>
        <v>Montgomery</v>
      </c>
      <c r="C84">
        <f>VLOOKUP(A84,UninsuredTable[],4,0)</f>
        <v>18412</v>
      </c>
      <c r="D84">
        <f>VLOOKUP(A84,UninsuredTable[],5,0)</f>
        <v>1302</v>
      </c>
      <c r="E84" s="73">
        <v>671.68034038421001</v>
      </c>
      <c r="F84">
        <f>SUM(VLOOKUP(A84,BaseTable[[GEO.id2]:[MOE - 400% FPL and over - 65 years and over - No health insurance]],11,0),VLOOKUP(A84,BaseTable[[GEO.id2]:[MOE - 400% FPL and over - 65 years and over - No health insurance]],31,0),VLOOKUP(A84,BaseTable[[GEO.id2]:[MOE - 400% FPL and over - 65 years and over - No health insurance]],51,0))</f>
        <v>8</v>
      </c>
      <c r="G84">
        <f t="shared" si="6"/>
        <v>6.1443932411674347E-3</v>
      </c>
      <c r="H84" s="73">
        <f t="shared" si="7"/>
        <v>4.1270681436817815</v>
      </c>
      <c r="I84">
        <f>SUM(VLOOKUP(A84,BaseTable[[GEO.id2]:[MOE - 400% FPL and over - 65 years and over - No health insurance]],77,0),VLOOKUP(A84,BaseTable[[GEO.id2]:[MOE - 400% FPL and over - 65 years and over - No health insurance]],71,0))</f>
        <v>385</v>
      </c>
      <c r="J84">
        <f t="shared" si="8"/>
        <v>0.29569892473118281</v>
      </c>
      <c r="K84" s="73">
        <f t="shared" si="9"/>
        <v>198.61515441468578</v>
      </c>
      <c r="L84">
        <f>SUM(VLOOKUP(A84,BaseTable[[GEO.id2]:[MOE - 400% FPL and over - 65 years and over - No health insurance]],17,0),VLOOKUP(A84,BaseTable[[GEO.id2]:[MOE - 400% FPL and over - 65 years and over - No health insurance]],57,0),VLOOKUP(A84,BaseTable[[GEO.id2]:[MOE - 400% FPL and over - 65 years and over - No health insurance]],37,0))</f>
        <v>857</v>
      </c>
      <c r="M84">
        <f t="shared" si="10"/>
        <v>0.65821812596006146</v>
      </c>
      <c r="N84" s="73">
        <f t="shared" si="11"/>
        <v>442.11217489191091</v>
      </c>
    </row>
    <row r="85" spans="1:14" x14ac:dyDescent="0.3">
      <c r="A85">
        <v>20906</v>
      </c>
      <c r="B85" t="str">
        <f>VLOOKUP(A85,UninsuredTable[],3,0)</f>
        <v>Montgomery</v>
      </c>
      <c r="C85">
        <f>VLOOKUP(A85,UninsuredTable[],4,0)</f>
        <v>69363</v>
      </c>
      <c r="D85">
        <f>VLOOKUP(A85,UninsuredTable[],5,0)</f>
        <v>9627</v>
      </c>
      <c r="E85" s="73">
        <v>4137.4485136939484</v>
      </c>
      <c r="F85">
        <f>SUM(VLOOKUP(A85,BaseTable[[GEO.id2]:[MOE - 400% FPL and over - 65 years and over - No health insurance]],11,0),VLOOKUP(A85,BaseTable[[GEO.id2]:[MOE - 400% FPL and over - 65 years and over - No health insurance]],31,0),VLOOKUP(A85,BaseTable[[GEO.id2]:[MOE - 400% FPL and over - 65 years and over - No health insurance]],51,0))</f>
        <v>780</v>
      </c>
      <c r="G85">
        <f t="shared" si="6"/>
        <v>8.1022125272670609E-2</v>
      </c>
      <c r="H85" s="73">
        <f t="shared" si="7"/>
        <v>335.2248717857359</v>
      </c>
      <c r="I85">
        <f>SUM(VLOOKUP(A85,BaseTable[[GEO.id2]:[MOE - 400% FPL and over - 65 years and over - No health insurance]],77,0),VLOOKUP(A85,BaseTable[[GEO.id2]:[MOE - 400% FPL and over - 65 years and over - No health insurance]],71,0))</f>
        <v>1767</v>
      </c>
      <c r="J85">
        <f t="shared" si="8"/>
        <v>0.18354627609847304</v>
      </c>
      <c r="K85" s="73">
        <f t="shared" si="9"/>
        <v>759.41326723768634</v>
      </c>
      <c r="L85">
        <f>SUM(VLOOKUP(A85,BaseTable[[GEO.id2]:[MOE - 400% FPL and over - 65 years and over - No health insurance]],17,0),VLOOKUP(A85,BaseTable[[GEO.id2]:[MOE - 400% FPL and over - 65 years and over - No health insurance]],57,0),VLOOKUP(A85,BaseTable[[GEO.id2]:[MOE - 400% FPL and over - 65 years and over - No health insurance]],37,0))</f>
        <v>6954</v>
      </c>
      <c r="M85">
        <f t="shared" si="10"/>
        <v>0.72234340916173267</v>
      </c>
      <c r="N85" s="73">
        <f t="shared" si="11"/>
        <v>2988.6586646128303</v>
      </c>
    </row>
    <row r="86" spans="1:14" x14ac:dyDescent="0.3">
      <c r="A86">
        <v>20910</v>
      </c>
      <c r="B86" t="str">
        <f>VLOOKUP(A86,UninsuredTable[],3,0)</f>
        <v>Montgomery</v>
      </c>
      <c r="C86">
        <f>VLOOKUP(A86,UninsuredTable[],4,0)</f>
        <v>42038</v>
      </c>
      <c r="D86">
        <f>VLOOKUP(A86,UninsuredTable[],5,0)</f>
        <v>2506</v>
      </c>
      <c r="E86" s="73">
        <v>1324.4585373956263</v>
      </c>
      <c r="F86">
        <f>SUM(VLOOKUP(A86,BaseTable[[GEO.id2]:[MOE - 400% FPL and over - 65 years and over - No health insurance]],11,0),VLOOKUP(A86,BaseTable[[GEO.id2]:[MOE - 400% FPL and over - 65 years and over - No health insurance]],31,0),VLOOKUP(A86,BaseTable[[GEO.id2]:[MOE - 400% FPL and over - 65 years and over - No health insurance]],51,0))</f>
        <v>26</v>
      </c>
      <c r="G86">
        <f t="shared" si="6"/>
        <v>1.0375099760574621E-2</v>
      </c>
      <c r="H86" s="73">
        <f t="shared" si="7"/>
        <v>13.741389454224375</v>
      </c>
      <c r="I86">
        <f>SUM(VLOOKUP(A86,BaseTable[[GEO.id2]:[MOE - 400% FPL and over - 65 years and over - No health insurance]],77,0),VLOOKUP(A86,BaseTable[[GEO.id2]:[MOE - 400% FPL and over - 65 years and over - No health insurance]],71,0))</f>
        <v>915</v>
      </c>
      <c r="J86">
        <f t="shared" si="8"/>
        <v>0.36512370311252995</v>
      </c>
      <c r="K86" s="73">
        <f t="shared" si="9"/>
        <v>483.59120579289629</v>
      </c>
      <c r="L86">
        <f>SUM(VLOOKUP(A86,BaseTable[[GEO.id2]:[MOE - 400% FPL and over - 65 years and over - No health insurance]],17,0),VLOOKUP(A86,BaseTable[[GEO.id2]:[MOE - 400% FPL and over - 65 years and over - No health insurance]],57,0),VLOOKUP(A86,BaseTable[[GEO.id2]:[MOE - 400% FPL and over - 65 years and over - No health insurance]],37,0))</f>
        <v>1548</v>
      </c>
      <c r="M86">
        <f t="shared" si="10"/>
        <v>0.61771747805267363</v>
      </c>
      <c r="N86" s="73">
        <f t="shared" si="11"/>
        <v>818.14118750535897</v>
      </c>
    </row>
    <row r="87" spans="1:14" x14ac:dyDescent="0.3">
      <c r="A87">
        <v>20912</v>
      </c>
      <c r="B87" t="str">
        <f>VLOOKUP(A87,UninsuredTable[],3,0)</f>
        <v>Montgomery</v>
      </c>
      <c r="C87">
        <f>VLOOKUP(A87,UninsuredTable[],4,0)</f>
        <v>25619</v>
      </c>
      <c r="D87">
        <f>VLOOKUP(A87,UninsuredTable[],5,0)</f>
        <v>3740</v>
      </c>
      <c r="E87" s="73">
        <v>1526.1897693079238</v>
      </c>
      <c r="F87">
        <f>SUM(VLOOKUP(A87,BaseTable[[GEO.id2]:[MOE - 400% FPL and over - 65 years and over - No health insurance]],11,0),VLOOKUP(A87,BaseTable[[GEO.id2]:[MOE - 400% FPL and over - 65 years and over - No health insurance]],31,0),VLOOKUP(A87,BaseTable[[GEO.id2]:[MOE - 400% FPL and over - 65 years and over - No health insurance]],51,0))</f>
        <v>240</v>
      </c>
      <c r="G87">
        <f t="shared" si="6"/>
        <v>6.4171122994652413E-2</v>
      </c>
      <c r="H87" s="73">
        <f t="shared" si="7"/>
        <v>97.937311399438968</v>
      </c>
      <c r="I87">
        <f>SUM(VLOOKUP(A87,BaseTable[[GEO.id2]:[MOE - 400% FPL and over - 65 years and over - No health insurance]],77,0),VLOOKUP(A87,BaseTable[[GEO.id2]:[MOE - 400% FPL and over - 65 years and over - No health insurance]],71,0))</f>
        <v>638</v>
      </c>
      <c r="J87">
        <f t="shared" si="8"/>
        <v>0.17058823529411765</v>
      </c>
      <c r="K87" s="73">
        <f t="shared" si="9"/>
        <v>260.35001947017525</v>
      </c>
      <c r="L87">
        <f>SUM(VLOOKUP(A87,BaseTable[[GEO.id2]:[MOE - 400% FPL and over - 65 years and over - No health insurance]],17,0),VLOOKUP(A87,BaseTable[[GEO.id2]:[MOE - 400% FPL and over - 65 years and over - No health insurance]],57,0),VLOOKUP(A87,BaseTable[[GEO.id2]:[MOE - 400% FPL and over - 65 years and over - No health insurance]],37,0))</f>
        <v>2792</v>
      </c>
      <c r="M87">
        <f t="shared" si="10"/>
        <v>0.74652406417112305</v>
      </c>
      <c r="N87" s="73">
        <f t="shared" si="11"/>
        <v>1139.3373892801401</v>
      </c>
    </row>
    <row r="88" spans="1:14" x14ac:dyDescent="0.3">
      <c r="A88">
        <v>21001</v>
      </c>
      <c r="B88" t="str">
        <f>VLOOKUP(A88,UninsuredTable[],3,0)</f>
        <v>Harford</v>
      </c>
      <c r="C88">
        <f>VLOOKUP(A88,UninsuredTable[],4,0)</f>
        <v>24279</v>
      </c>
      <c r="D88">
        <f>VLOOKUP(A88,UninsuredTable[],5,0)</f>
        <v>1446</v>
      </c>
      <c r="E88" s="73">
        <v>1036.6967399012324</v>
      </c>
      <c r="F88">
        <f>SUM(VLOOKUP(A88,BaseTable[[GEO.id2]:[MOE - 400% FPL and over - 65 years and over - No health insurance]],11,0),VLOOKUP(A88,BaseTable[[GEO.id2]:[MOE - 400% FPL and over - 65 years and over - No health insurance]],31,0),VLOOKUP(A88,BaseTable[[GEO.id2]:[MOE - 400% FPL and over - 65 years and over - No health insurance]],51,0))</f>
        <v>44</v>
      </c>
      <c r="G88">
        <f t="shared" si="6"/>
        <v>3.0428769017980636E-2</v>
      </c>
      <c r="H88" s="73">
        <f t="shared" si="7"/>
        <v>31.54540564014815</v>
      </c>
      <c r="I88">
        <f>SUM(VLOOKUP(A88,BaseTable[[GEO.id2]:[MOE - 400% FPL and over - 65 years and over - No health insurance]],77,0),VLOOKUP(A88,BaseTable[[GEO.id2]:[MOE - 400% FPL and over - 65 years and over - No health insurance]],71,0))</f>
        <v>207</v>
      </c>
      <c r="J88">
        <f t="shared" si="8"/>
        <v>0.14315352697095435</v>
      </c>
      <c r="K88" s="73">
        <f t="shared" si="9"/>
        <v>148.40679471615152</v>
      </c>
      <c r="L88">
        <f>SUM(VLOOKUP(A88,BaseTable[[GEO.id2]:[MOE - 400% FPL and over - 65 years and over - No health insurance]],17,0),VLOOKUP(A88,BaseTable[[GEO.id2]:[MOE - 400% FPL and over - 65 years and over - No health insurance]],57,0),VLOOKUP(A88,BaseTable[[GEO.id2]:[MOE - 400% FPL and over - 65 years and over - No health insurance]],37,0))</f>
        <v>1195</v>
      </c>
      <c r="M88">
        <f t="shared" si="10"/>
        <v>0.82641770401106496</v>
      </c>
      <c r="N88" s="73">
        <f t="shared" si="11"/>
        <v>856.74453954493265</v>
      </c>
    </row>
    <row r="89" spans="1:14" x14ac:dyDescent="0.3">
      <c r="A89">
        <v>21009</v>
      </c>
      <c r="B89" t="str">
        <f>VLOOKUP(A89,UninsuredTable[],3,0)</f>
        <v>Harford</v>
      </c>
      <c r="C89">
        <f>VLOOKUP(A89,UninsuredTable[],4,0)</f>
        <v>29624</v>
      </c>
      <c r="D89">
        <f>VLOOKUP(A89,UninsuredTable[],5,0)</f>
        <v>1265</v>
      </c>
      <c r="E89" s="73">
        <v>836.33495135086787</v>
      </c>
      <c r="F89">
        <f>SUM(VLOOKUP(A89,BaseTable[[GEO.id2]:[MOE - 400% FPL and over - 65 years and over - No health insurance]],11,0),VLOOKUP(A89,BaseTable[[GEO.id2]:[MOE - 400% FPL and over - 65 years and over - No health insurance]],31,0),VLOOKUP(A89,BaseTable[[GEO.id2]:[MOE - 400% FPL and over - 65 years and over - No health insurance]],51,0))</f>
        <v>173</v>
      </c>
      <c r="G89">
        <f t="shared" si="6"/>
        <v>0.1367588932806324</v>
      </c>
      <c r="H89" s="73">
        <f t="shared" si="7"/>
        <v>114.37624235865623</v>
      </c>
      <c r="I89">
        <f>SUM(VLOOKUP(A89,BaseTable[[GEO.id2]:[MOE - 400% FPL and over - 65 years and over - No health insurance]],77,0),VLOOKUP(A89,BaseTable[[GEO.id2]:[MOE - 400% FPL and over - 65 years and over - No health insurance]],71,0))</f>
        <v>382</v>
      </c>
      <c r="J89">
        <f t="shared" si="8"/>
        <v>0.30197628458498021</v>
      </c>
      <c r="K89" s="73">
        <f t="shared" si="9"/>
        <v>252.55332127749526</v>
      </c>
      <c r="L89">
        <f>SUM(VLOOKUP(A89,BaseTable[[GEO.id2]:[MOE - 400% FPL and over - 65 years and over - No health insurance]],17,0),VLOOKUP(A89,BaseTable[[GEO.id2]:[MOE - 400% FPL and over - 65 years and over - No health insurance]],57,0),VLOOKUP(A89,BaseTable[[GEO.id2]:[MOE - 400% FPL and over - 65 years and over - No health insurance]],37,0))</f>
        <v>710</v>
      </c>
      <c r="M89">
        <f t="shared" si="10"/>
        <v>0.56126482213438733</v>
      </c>
      <c r="N89" s="73">
        <f t="shared" si="11"/>
        <v>469.40538771471631</v>
      </c>
    </row>
    <row r="90" spans="1:14" x14ac:dyDescent="0.3">
      <c r="A90">
        <v>21012</v>
      </c>
      <c r="B90" t="str">
        <f>VLOOKUP(A90,UninsuredTable[],3,0)</f>
        <v>Anne Arundel</v>
      </c>
      <c r="C90">
        <f>VLOOKUP(A90,UninsuredTable[],4,0)</f>
        <v>20995</v>
      </c>
      <c r="D90">
        <f>VLOOKUP(A90,UninsuredTable[],5,0)</f>
        <v>827</v>
      </c>
      <c r="E90" s="73">
        <v>785</v>
      </c>
      <c r="F90">
        <f>SUM(VLOOKUP(A90,BaseTable[[GEO.id2]:[MOE - 400% FPL and over - 65 years and over - No health insurance]],11,0),VLOOKUP(A90,BaseTable[[GEO.id2]:[MOE - 400% FPL and over - 65 years and over - No health insurance]],31,0),VLOOKUP(A90,BaseTable[[GEO.id2]:[MOE - 400% FPL and over - 65 years and over - No health insurance]],51,0))</f>
        <v>122</v>
      </c>
      <c r="G90">
        <f t="shared" si="6"/>
        <v>0.14752116082224909</v>
      </c>
      <c r="H90" s="73">
        <f t="shared" si="7"/>
        <v>115.80411124546553</v>
      </c>
      <c r="I90">
        <f>SUM(VLOOKUP(A90,BaseTable[[GEO.id2]:[MOE - 400% FPL and over - 65 years and over - No health insurance]],77,0),VLOOKUP(A90,BaseTable[[GEO.id2]:[MOE - 400% FPL and over - 65 years and over - No health insurance]],71,0))</f>
        <v>201</v>
      </c>
      <c r="J90">
        <f t="shared" si="8"/>
        <v>0.2430471584038694</v>
      </c>
      <c r="K90" s="73">
        <f t="shared" si="9"/>
        <v>190.79201934703747</v>
      </c>
      <c r="L90">
        <f>SUM(VLOOKUP(A90,BaseTable[[GEO.id2]:[MOE - 400% FPL and over - 65 years and over - No health insurance]],17,0),VLOOKUP(A90,BaseTable[[GEO.id2]:[MOE - 400% FPL and over - 65 years and over - No health insurance]],57,0),VLOOKUP(A90,BaseTable[[GEO.id2]:[MOE - 400% FPL and over - 65 years and over - No health insurance]],37,0))</f>
        <v>462</v>
      </c>
      <c r="M90">
        <f t="shared" si="10"/>
        <v>0.55864570737605801</v>
      </c>
      <c r="N90" s="73">
        <f t="shared" si="11"/>
        <v>438.53688029020554</v>
      </c>
    </row>
    <row r="91" spans="1:14" x14ac:dyDescent="0.3">
      <c r="A91">
        <v>21014</v>
      </c>
      <c r="B91" t="str">
        <f>VLOOKUP(A91,UninsuredTable[],3,0)</f>
        <v>Harford</v>
      </c>
      <c r="C91">
        <f>VLOOKUP(A91,UninsuredTable[],4,0)</f>
        <v>34894</v>
      </c>
      <c r="D91">
        <f>VLOOKUP(A91,UninsuredTable[],5,0)</f>
        <v>1103</v>
      </c>
      <c r="E91" s="73">
        <v>769.04380402353559</v>
      </c>
      <c r="F91">
        <f>SUM(VLOOKUP(A91,BaseTable[[GEO.id2]:[MOE - 400% FPL and over - 65 years and over - No health insurance]],11,0),VLOOKUP(A91,BaseTable[[GEO.id2]:[MOE - 400% FPL and over - 65 years and over - No health insurance]],31,0),VLOOKUP(A91,BaseTable[[GEO.id2]:[MOE - 400% FPL and over - 65 years and over - No health insurance]],51,0))</f>
        <v>59</v>
      </c>
      <c r="G91">
        <f t="shared" si="6"/>
        <v>5.3490480507706259E-2</v>
      </c>
      <c r="H91" s="73">
        <f t="shared" si="7"/>
        <v>41.136522608693205</v>
      </c>
      <c r="I91">
        <f>SUM(VLOOKUP(A91,BaseTable[[GEO.id2]:[MOE - 400% FPL and over - 65 years and over - No health insurance]],77,0),VLOOKUP(A91,BaseTable[[GEO.id2]:[MOE - 400% FPL and over - 65 years and over - No health insurance]],71,0))</f>
        <v>439</v>
      </c>
      <c r="J91">
        <f t="shared" si="8"/>
        <v>0.39800543970988211</v>
      </c>
      <c r="K91" s="73">
        <f t="shared" si="9"/>
        <v>306.08361737654769</v>
      </c>
      <c r="L91">
        <f>SUM(VLOOKUP(A91,BaseTable[[GEO.id2]:[MOE - 400% FPL and over - 65 years and over - No health insurance]],17,0),VLOOKUP(A91,BaseTable[[GEO.id2]:[MOE - 400% FPL and over - 65 years and over - No health insurance]],57,0),VLOOKUP(A91,BaseTable[[GEO.id2]:[MOE - 400% FPL and over - 65 years and over - No health insurance]],37,0))</f>
        <v>598</v>
      </c>
      <c r="M91">
        <f t="shared" si="10"/>
        <v>0.54215775158658208</v>
      </c>
      <c r="N91" s="73">
        <f t="shared" si="11"/>
        <v>416.94305966099211</v>
      </c>
    </row>
    <row r="92" spans="1:14" x14ac:dyDescent="0.3">
      <c r="A92">
        <v>21015</v>
      </c>
      <c r="B92" t="str">
        <f>VLOOKUP(A92,UninsuredTable[],3,0)</f>
        <v>Harford</v>
      </c>
      <c r="C92">
        <f>VLOOKUP(A92,UninsuredTable[],4,0)</f>
        <v>28726</v>
      </c>
      <c r="D92">
        <f>VLOOKUP(A92,UninsuredTable[],5,0)</f>
        <v>842</v>
      </c>
      <c r="E92" s="73">
        <v>842</v>
      </c>
      <c r="F92">
        <f>SUM(VLOOKUP(A92,BaseTable[[GEO.id2]:[MOE - 400% FPL and over - 65 years and over - No health insurance]],11,0),VLOOKUP(A92,BaseTable[[GEO.id2]:[MOE - 400% FPL and over - 65 years and over - No health insurance]],31,0),VLOOKUP(A92,BaseTable[[GEO.id2]:[MOE - 400% FPL and over - 65 years and over - No health insurance]],51,0))</f>
        <v>156</v>
      </c>
      <c r="G92">
        <f t="shared" si="6"/>
        <v>0.18527315914489312</v>
      </c>
      <c r="H92" s="73">
        <f t="shared" si="7"/>
        <v>156</v>
      </c>
      <c r="I92">
        <f>SUM(VLOOKUP(A92,BaseTable[[GEO.id2]:[MOE - 400% FPL and over - 65 years and over - No health insurance]],77,0),VLOOKUP(A92,BaseTable[[GEO.id2]:[MOE - 400% FPL and over - 65 years and over - No health insurance]],71,0))</f>
        <v>196</v>
      </c>
      <c r="J92">
        <f t="shared" si="8"/>
        <v>0.23277909738717339</v>
      </c>
      <c r="K92" s="73">
        <f t="shared" si="9"/>
        <v>196</v>
      </c>
      <c r="L92">
        <f>SUM(VLOOKUP(A92,BaseTable[[GEO.id2]:[MOE - 400% FPL and over - 65 years and over - No health insurance]],17,0),VLOOKUP(A92,BaseTable[[GEO.id2]:[MOE - 400% FPL and over - 65 years and over - No health insurance]],57,0),VLOOKUP(A92,BaseTable[[GEO.id2]:[MOE - 400% FPL and over - 65 years and over - No health insurance]],37,0))</f>
        <v>490</v>
      </c>
      <c r="M92">
        <f t="shared" si="10"/>
        <v>0.58194774346793354</v>
      </c>
      <c r="N92" s="73">
        <f t="shared" si="11"/>
        <v>490.00000000000006</v>
      </c>
    </row>
    <row r="93" spans="1:14" x14ac:dyDescent="0.3">
      <c r="A93">
        <v>21017</v>
      </c>
      <c r="B93" t="str">
        <f>VLOOKUP(A93,UninsuredTable[],3,0)</f>
        <v>Harford</v>
      </c>
      <c r="C93">
        <f>VLOOKUP(A93,UninsuredTable[],4,0)</f>
        <v>6522</v>
      </c>
      <c r="D93">
        <f>VLOOKUP(A93,UninsuredTable[],5,0)</f>
        <v>308</v>
      </c>
      <c r="E93" s="73">
        <v>308</v>
      </c>
      <c r="F93">
        <f>SUM(VLOOKUP(A93,BaseTable[[GEO.id2]:[MOE - 400% FPL and over - 65 years and over - No health insurance]],11,0),VLOOKUP(A93,BaseTable[[GEO.id2]:[MOE - 400% FPL and over - 65 years and over - No health insurance]],31,0),VLOOKUP(A93,BaseTable[[GEO.id2]:[MOE - 400% FPL and over - 65 years and over - No health insurance]],51,0))</f>
        <v>74</v>
      </c>
      <c r="G93">
        <f t="shared" si="6"/>
        <v>0.24025974025974026</v>
      </c>
      <c r="H93" s="73">
        <f t="shared" si="7"/>
        <v>74</v>
      </c>
      <c r="I93">
        <f>SUM(VLOOKUP(A93,BaseTable[[GEO.id2]:[MOE - 400% FPL and over - 65 years and over - No health insurance]],77,0),VLOOKUP(A93,BaseTable[[GEO.id2]:[MOE - 400% FPL and over - 65 years and over - No health insurance]],71,0))</f>
        <v>107</v>
      </c>
      <c r="J93">
        <f t="shared" si="8"/>
        <v>0.34740259740259738</v>
      </c>
      <c r="K93" s="73">
        <f t="shared" si="9"/>
        <v>107</v>
      </c>
      <c r="L93">
        <f>SUM(VLOOKUP(A93,BaseTable[[GEO.id2]:[MOE - 400% FPL and over - 65 years and over - No health insurance]],17,0),VLOOKUP(A93,BaseTable[[GEO.id2]:[MOE - 400% FPL and over - 65 years and over - No health insurance]],57,0),VLOOKUP(A93,BaseTable[[GEO.id2]:[MOE - 400% FPL and over - 65 years and over - No health insurance]],37,0))</f>
        <v>127</v>
      </c>
      <c r="M93">
        <f t="shared" si="10"/>
        <v>0.41233766233766234</v>
      </c>
      <c r="N93" s="73">
        <f t="shared" si="11"/>
        <v>127</v>
      </c>
    </row>
    <row r="94" spans="1:14" x14ac:dyDescent="0.3">
      <c r="A94">
        <v>21029</v>
      </c>
      <c r="B94" t="str">
        <f>VLOOKUP(A94,UninsuredTable[],3,0)</f>
        <v>Howard</v>
      </c>
      <c r="C94">
        <f>VLOOKUP(A94,UninsuredTable[],4,0)</f>
        <v>11031</v>
      </c>
      <c r="D94">
        <f>VLOOKUP(A94,UninsuredTable[],5,0)</f>
        <v>314</v>
      </c>
      <c r="E94" s="73">
        <v>269</v>
      </c>
      <c r="F94">
        <f>SUM(VLOOKUP(A94,BaseTable[[GEO.id2]:[MOE - 400% FPL and over - 65 years and over - No health insurance]],11,0),VLOOKUP(A94,BaseTable[[GEO.id2]:[MOE - 400% FPL and over - 65 years and over - No health insurance]],31,0),VLOOKUP(A94,BaseTable[[GEO.id2]:[MOE - 400% FPL and over - 65 years and over - No health insurance]],51,0))</f>
        <v>13</v>
      </c>
      <c r="G94">
        <f t="shared" si="6"/>
        <v>4.1401273885350316E-2</v>
      </c>
      <c r="H94" s="73">
        <f t="shared" si="7"/>
        <v>11.136942675159235</v>
      </c>
      <c r="I94">
        <f>SUM(VLOOKUP(A94,BaseTable[[GEO.id2]:[MOE - 400% FPL and over - 65 years and over - No health insurance]],77,0),VLOOKUP(A94,BaseTable[[GEO.id2]:[MOE - 400% FPL and over - 65 years and over - No health insurance]],71,0))</f>
        <v>112</v>
      </c>
      <c r="J94">
        <f t="shared" si="8"/>
        <v>0.35668789808917195</v>
      </c>
      <c r="K94" s="73">
        <f t="shared" si="9"/>
        <v>95.949044585987252</v>
      </c>
      <c r="L94">
        <f>SUM(VLOOKUP(A94,BaseTable[[GEO.id2]:[MOE - 400% FPL and over - 65 years and over - No health insurance]],17,0),VLOOKUP(A94,BaseTable[[GEO.id2]:[MOE - 400% FPL and over - 65 years and over - No health insurance]],57,0),VLOOKUP(A94,BaseTable[[GEO.id2]:[MOE - 400% FPL and over - 65 years and over - No health insurance]],37,0))</f>
        <v>144</v>
      </c>
      <c r="M94">
        <f t="shared" si="10"/>
        <v>0.45859872611464969</v>
      </c>
      <c r="N94" s="73">
        <f t="shared" si="11"/>
        <v>123.36305732484077</v>
      </c>
    </row>
    <row r="95" spans="1:14" x14ac:dyDescent="0.3">
      <c r="A95">
        <v>21030</v>
      </c>
      <c r="B95" t="str">
        <f>VLOOKUP(A95,UninsuredTable[],3,0)</f>
        <v>Baltimore</v>
      </c>
      <c r="C95">
        <f>VLOOKUP(A95,UninsuredTable[],4,0)</f>
        <v>24326</v>
      </c>
      <c r="D95">
        <f>VLOOKUP(A95,UninsuredTable[],5,0)</f>
        <v>2407</v>
      </c>
      <c r="E95" s="73">
        <v>1150.0561148413394</v>
      </c>
      <c r="F95">
        <f>SUM(VLOOKUP(A95,BaseTable[[GEO.id2]:[MOE - 400% FPL and over - 65 years and over - No health insurance]],11,0),VLOOKUP(A95,BaseTable[[GEO.id2]:[MOE - 400% FPL and over - 65 years and over - No health insurance]],31,0),VLOOKUP(A95,BaseTable[[GEO.id2]:[MOE - 400% FPL and over - 65 years and over - No health insurance]],51,0))</f>
        <v>165</v>
      </c>
      <c r="G95">
        <f t="shared" si="6"/>
        <v>6.8550062318238472E-2</v>
      </c>
      <c r="H95" s="73">
        <f t="shared" si="7"/>
        <v>78.836418341845032</v>
      </c>
      <c r="I95">
        <f>SUM(VLOOKUP(A95,BaseTable[[GEO.id2]:[MOE - 400% FPL and over - 65 years and over - No health insurance]],77,0),VLOOKUP(A95,BaseTable[[GEO.id2]:[MOE - 400% FPL and over - 65 years and over - No health insurance]],71,0))</f>
        <v>446</v>
      </c>
      <c r="J95">
        <f t="shared" si="8"/>
        <v>0.18529289572081428</v>
      </c>
      <c r="K95" s="73">
        <f t="shared" si="9"/>
        <v>213.09722776038112</v>
      </c>
      <c r="L95">
        <f>SUM(VLOOKUP(A95,BaseTable[[GEO.id2]:[MOE - 400% FPL and over - 65 years and over - No health insurance]],17,0),VLOOKUP(A95,BaseTable[[GEO.id2]:[MOE - 400% FPL and over - 65 years and over - No health insurance]],57,0),VLOOKUP(A95,BaseTable[[GEO.id2]:[MOE - 400% FPL and over - 65 years and over - No health insurance]],37,0))</f>
        <v>1707</v>
      </c>
      <c r="M95">
        <f t="shared" si="10"/>
        <v>0.70918155380141257</v>
      </c>
      <c r="N95" s="73">
        <f t="shared" si="11"/>
        <v>815.59858248199691</v>
      </c>
    </row>
    <row r="96" spans="1:14" x14ac:dyDescent="0.3">
      <c r="A96">
        <v>21032</v>
      </c>
      <c r="B96" t="str">
        <f>VLOOKUP(A96,UninsuredTable[],3,0)</f>
        <v>Anne Arundel</v>
      </c>
      <c r="C96">
        <f>VLOOKUP(A96,UninsuredTable[],4,0)</f>
        <v>8597</v>
      </c>
      <c r="D96">
        <f>VLOOKUP(A96,UninsuredTable[],5,0)</f>
        <v>308</v>
      </c>
      <c r="E96" s="73">
        <v>308</v>
      </c>
      <c r="F96">
        <f>SUM(VLOOKUP(A96,BaseTable[[GEO.id2]:[MOE - 400% FPL and over - 65 years and over - No health insurance]],11,0),VLOOKUP(A96,BaseTable[[GEO.id2]:[MOE - 400% FPL and over - 65 years and over - No health insurance]],31,0),VLOOKUP(A96,BaseTable[[GEO.id2]:[MOE - 400% FPL and over - 65 years and over - No health insurance]],51,0))</f>
        <v>0</v>
      </c>
      <c r="G96">
        <f t="shared" si="6"/>
        <v>0</v>
      </c>
      <c r="H96" s="73">
        <f t="shared" si="7"/>
        <v>0</v>
      </c>
      <c r="I96">
        <f>SUM(VLOOKUP(A96,BaseTable[[GEO.id2]:[MOE - 400% FPL and over - 65 years and over - No health insurance]],77,0),VLOOKUP(A96,BaseTable[[GEO.id2]:[MOE - 400% FPL and over - 65 years and over - No health insurance]],71,0))</f>
        <v>110</v>
      </c>
      <c r="J96">
        <f t="shared" si="8"/>
        <v>0.35714285714285715</v>
      </c>
      <c r="K96" s="73">
        <f t="shared" si="9"/>
        <v>110</v>
      </c>
      <c r="L96">
        <f>SUM(VLOOKUP(A96,BaseTable[[GEO.id2]:[MOE - 400% FPL and over - 65 years and over - No health insurance]],17,0),VLOOKUP(A96,BaseTable[[GEO.id2]:[MOE - 400% FPL and over - 65 years and over - No health insurance]],57,0),VLOOKUP(A96,BaseTable[[GEO.id2]:[MOE - 400% FPL and over - 65 years and over - No health insurance]],37,0))</f>
        <v>198</v>
      </c>
      <c r="M96">
        <f t="shared" si="10"/>
        <v>0.6428571428571429</v>
      </c>
      <c r="N96" s="73">
        <f t="shared" si="11"/>
        <v>198.00000000000003</v>
      </c>
    </row>
    <row r="97" spans="1:14" x14ac:dyDescent="0.3">
      <c r="A97">
        <v>21037</v>
      </c>
      <c r="B97" t="str">
        <f>VLOOKUP(A97,UninsuredTable[],3,0)</f>
        <v>Anne Arundel</v>
      </c>
      <c r="C97">
        <f>VLOOKUP(A97,UninsuredTable[],4,0)</f>
        <v>21896</v>
      </c>
      <c r="D97">
        <f>VLOOKUP(A97,UninsuredTable[],5,0)</f>
        <v>1269</v>
      </c>
      <c r="E97" s="73">
        <v>670.40280075896487</v>
      </c>
      <c r="F97">
        <f>SUM(VLOOKUP(A97,BaseTable[[GEO.id2]:[MOE - 400% FPL and over - 65 years and over - No health insurance]],11,0),VLOOKUP(A97,BaseTable[[GEO.id2]:[MOE - 400% FPL and over - 65 years and over - No health insurance]],31,0),VLOOKUP(A97,BaseTable[[GEO.id2]:[MOE - 400% FPL and over - 65 years and over - No health insurance]],51,0))</f>
        <v>303</v>
      </c>
      <c r="G97">
        <f t="shared" si="6"/>
        <v>0.23877068557919623</v>
      </c>
      <c r="H97" s="73">
        <f t="shared" si="7"/>
        <v>160.07253635143132</v>
      </c>
      <c r="I97">
        <f>SUM(VLOOKUP(A97,BaseTable[[GEO.id2]:[MOE - 400% FPL and over - 65 years and over - No health insurance]],77,0),VLOOKUP(A97,BaseTable[[GEO.id2]:[MOE - 400% FPL and over - 65 years and over - No health insurance]],71,0))</f>
        <v>305</v>
      </c>
      <c r="J97">
        <f t="shared" si="8"/>
        <v>0.24034672970843185</v>
      </c>
      <c r="K97" s="73">
        <f t="shared" si="9"/>
        <v>161.12912074979062</v>
      </c>
      <c r="L97">
        <f>SUM(VLOOKUP(A97,BaseTable[[GEO.id2]:[MOE - 400% FPL and over - 65 years and over - No health insurance]],17,0),VLOOKUP(A97,BaseTable[[GEO.id2]:[MOE - 400% FPL and over - 65 years and over - No health insurance]],57,0),VLOOKUP(A97,BaseTable[[GEO.id2]:[MOE - 400% FPL and over - 65 years and over - No health insurance]],37,0))</f>
        <v>639</v>
      </c>
      <c r="M97">
        <f t="shared" si="10"/>
        <v>0.50354609929078009</v>
      </c>
      <c r="N97" s="73">
        <f t="shared" si="11"/>
        <v>337.57871527579078</v>
      </c>
    </row>
    <row r="98" spans="1:14" x14ac:dyDescent="0.3">
      <c r="A98">
        <v>21040</v>
      </c>
      <c r="B98" t="str">
        <f>VLOOKUP(A98,UninsuredTable[],3,0)</f>
        <v>Harford</v>
      </c>
      <c r="C98">
        <f>VLOOKUP(A98,UninsuredTable[],4,0)</f>
        <v>24103</v>
      </c>
      <c r="D98">
        <f>VLOOKUP(A98,UninsuredTable[],5,0)</f>
        <v>1503</v>
      </c>
      <c r="E98" s="73">
        <v>1084.0887247730452</v>
      </c>
      <c r="F98">
        <f>SUM(VLOOKUP(A98,BaseTable[[GEO.id2]:[MOE - 400% FPL and over - 65 years and over - No health insurance]],11,0),VLOOKUP(A98,BaseTable[[GEO.id2]:[MOE - 400% FPL and over - 65 years and over - No health insurance]],31,0),VLOOKUP(A98,BaseTable[[GEO.id2]:[MOE - 400% FPL and over - 65 years and over - No health insurance]],51,0))</f>
        <v>216</v>
      </c>
      <c r="G98">
        <f t="shared" si="6"/>
        <v>0.1437125748502994</v>
      </c>
      <c r="H98" s="73">
        <f t="shared" si="7"/>
        <v>155.79718200331189</v>
      </c>
      <c r="I98">
        <f>SUM(VLOOKUP(A98,BaseTable[[GEO.id2]:[MOE - 400% FPL and over - 65 years and over - No health insurance]],77,0),VLOOKUP(A98,BaseTable[[GEO.id2]:[MOE - 400% FPL and over - 65 years and over - No health insurance]],71,0))</f>
        <v>281</v>
      </c>
      <c r="J98">
        <f t="shared" si="8"/>
        <v>0.18695941450432468</v>
      </c>
      <c r="K98" s="73">
        <f t="shared" si="9"/>
        <v>202.68059325430852</v>
      </c>
      <c r="L98">
        <f>SUM(VLOOKUP(A98,BaseTable[[GEO.id2]:[MOE - 400% FPL and over - 65 years and over - No health insurance]],17,0),VLOOKUP(A98,BaseTable[[GEO.id2]:[MOE - 400% FPL and over - 65 years and over - No health insurance]],57,0),VLOOKUP(A98,BaseTable[[GEO.id2]:[MOE - 400% FPL and over - 65 years and over - No health insurance]],37,0))</f>
        <v>990</v>
      </c>
      <c r="M98">
        <f t="shared" si="10"/>
        <v>0.6586826347305389</v>
      </c>
      <c r="N98" s="73">
        <f t="shared" si="11"/>
        <v>714.07041751517943</v>
      </c>
    </row>
    <row r="99" spans="1:14" x14ac:dyDescent="0.3">
      <c r="A99">
        <v>21042</v>
      </c>
      <c r="B99" t="str">
        <f>VLOOKUP(A99,UninsuredTable[],3,0)</f>
        <v>Howard</v>
      </c>
      <c r="C99">
        <f>VLOOKUP(A99,UninsuredTable[],4,0)</f>
        <v>40115</v>
      </c>
      <c r="D99">
        <f>VLOOKUP(A99,UninsuredTable[],5,0)</f>
        <v>1287</v>
      </c>
      <c r="E99" s="73">
        <v>872.21920027598719</v>
      </c>
      <c r="F99">
        <f>SUM(VLOOKUP(A99,BaseTable[[GEO.id2]:[MOE - 400% FPL and over - 65 years and over - No health insurance]],11,0),VLOOKUP(A99,BaseTable[[GEO.id2]:[MOE - 400% FPL and over - 65 years and over - No health insurance]],31,0),VLOOKUP(A99,BaseTable[[GEO.id2]:[MOE - 400% FPL and over - 65 years and over - No health insurance]],51,0))</f>
        <v>62</v>
      </c>
      <c r="G99">
        <f t="shared" si="6"/>
        <v>4.8174048174048176E-2</v>
      </c>
      <c r="H99" s="73">
        <f t="shared" si="7"/>
        <v>42.018329772425183</v>
      </c>
      <c r="I99">
        <f>SUM(VLOOKUP(A99,BaseTable[[GEO.id2]:[MOE - 400% FPL and over - 65 years and over - No health insurance]],77,0),VLOOKUP(A99,BaseTable[[GEO.id2]:[MOE - 400% FPL and over - 65 years and over - No health insurance]],71,0))</f>
        <v>823</v>
      </c>
      <c r="J99">
        <f t="shared" si="8"/>
        <v>0.63947163947163943</v>
      </c>
      <c r="K99" s="73">
        <f t="shared" si="9"/>
        <v>557.7594419791277</v>
      </c>
      <c r="L99">
        <f>SUM(VLOOKUP(A99,BaseTable[[GEO.id2]:[MOE - 400% FPL and over - 65 years and over - No health insurance]],17,0),VLOOKUP(A99,BaseTable[[GEO.id2]:[MOE - 400% FPL and over - 65 years and over - No health insurance]],57,0),VLOOKUP(A99,BaseTable[[GEO.id2]:[MOE - 400% FPL and over - 65 years and over - No health insurance]],37,0))</f>
        <v>354</v>
      </c>
      <c r="M99">
        <f t="shared" si="10"/>
        <v>0.27505827505827507</v>
      </c>
      <c r="N99" s="73">
        <f t="shared" si="11"/>
        <v>239.91110870062118</v>
      </c>
    </row>
    <row r="100" spans="1:14" x14ac:dyDescent="0.3">
      <c r="A100">
        <v>21043</v>
      </c>
      <c r="B100" t="str">
        <f>VLOOKUP(A100,UninsuredTable[],3,0)</f>
        <v>Howard</v>
      </c>
      <c r="C100">
        <f>VLOOKUP(A100,UninsuredTable[],4,0)</f>
        <v>46925</v>
      </c>
      <c r="D100">
        <f>VLOOKUP(A100,UninsuredTable[],5,0)</f>
        <v>1854</v>
      </c>
      <c r="E100" s="73">
        <v>835.33346536424563</v>
      </c>
      <c r="F100">
        <f>SUM(VLOOKUP(A100,BaseTable[[GEO.id2]:[MOE - 400% FPL and over - 65 years and over - No health insurance]],11,0),VLOOKUP(A100,BaseTable[[GEO.id2]:[MOE - 400% FPL and over - 65 years and over - No health insurance]],31,0),VLOOKUP(A100,BaseTable[[GEO.id2]:[MOE - 400% FPL and over - 65 years and over - No health insurance]],51,0))</f>
        <v>101</v>
      </c>
      <c r="G100">
        <f t="shared" si="6"/>
        <v>5.447680690399137E-2</v>
      </c>
      <c r="H100" s="73">
        <f t="shared" si="7"/>
        <v>45.506299893089974</v>
      </c>
      <c r="I100">
        <f>SUM(VLOOKUP(A100,BaseTable[[GEO.id2]:[MOE - 400% FPL and over - 65 years and over - No health insurance]],77,0),VLOOKUP(A100,BaseTable[[GEO.id2]:[MOE - 400% FPL and over - 65 years and over - No health insurance]],71,0))</f>
        <v>636</v>
      </c>
      <c r="J100">
        <f t="shared" si="8"/>
        <v>0.34304207119741098</v>
      </c>
      <c r="K100" s="73">
        <f t="shared" si="9"/>
        <v>286.55452209906161</v>
      </c>
      <c r="L100">
        <f>SUM(VLOOKUP(A100,BaseTable[[GEO.id2]:[MOE - 400% FPL and over - 65 years and over - No health insurance]],17,0),VLOOKUP(A100,BaseTable[[GEO.id2]:[MOE - 400% FPL and over - 65 years and over - No health insurance]],57,0),VLOOKUP(A100,BaseTable[[GEO.id2]:[MOE - 400% FPL and over - 65 years and over - No health insurance]],37,0))</f>
        <v>961</v>
      </c>
      <c r="M100">
        <f t="shared" si="10"/>
        <v>0.51833872707659112</v>
      </c>
      <c r="N100" s="73">
        <f t="shared" si="11"/>
        <v>432.98568512138081</v>
      </c>
    </row>
    <row r="101" spans="1:14" x14ac:dyDescent="0.3">
      <c r="A101">
        <v>21044</v>
      </c>
      <c r="B101" t="str">
        <f>VLOOKUP(A101,UninsuredTable[],3,0)</f>
        <v>Howard</v>
      </c>
      <c r="C101">
        <f>VLOOKUP(A101,UninsuredTable[],4,0)</f>
        <v>42858</v>
      </c>
      <c r="D101">
        <f>VLOOKUP(A101,UninsuredTable[],5,0)</f>
        <v>2217</v>
      </c>
      <c r="E101" s="73">
        <v>1201.2904088060361</v>
      </c>
      <c r="F101">
        <f>SUM(VLOOKUP(A101,BaseTable[[GEO.id2]:[MOE - 400% FPL and over - 65 years and over - No health insurance]],11,0),VLOOKUP(A101,BaseTable[[GEO.id2]:[MOE - 400% FPL and over - 65 years and over - No health insurance]],31,0),VLOOKUP(A101,BaseTable[[GEO.id2]:[MOE - 400% FPL and over - 65 years and over - No health insurance]],51,0))</f>
        <v>53</v>
      </c>
      <c r="G101">
        <f t="shared" si="6"/>
        <v>2.390617952187641E-2</v>
      </c>
      <c r="H101" s="73">
        <f t="shared" si="7"/>
        <v>28.7182641708254</v>
      </c>
      <c r="I101">
        <f>SUM(VLOOKUP(A101,BaseTable[[GEO.id2]:[MOE - 400% FPL and over - 65 years and over - No health insurance]],77,0),VLOOKUP(A101,BaseTable[[GEO.id2]:[MOE - 400% FPL and over - 65 years and over - No health insurance]],71,0))</f>
        <v>438</v>
      </c>
      <c r="J101">
        <f t="shared" si="8"/>
        <v>0.19756427604871449</v>
      </c>
      <c r="K101" s="73">
        <f t="shared" si="9"/>
        <v>237.33206994002879</v>
      </c>
      <c r="L101">
        <f>SUM(VLOOKUP(A101,BaseTable[[GEO.id2]:[MOE - 400% FPL and over - 65 years and over - No health insurance]],17,0),VLOOKUP(A101,BaseTable[[GEO.id2]:[MOE - 400% FPL and over - 65 years and over - No health insurance]],57,0),VLOOKUP(A101,BaseTable[[GEO.id2]:[MOE - 400% FPL and over - 65 years and over - No health insurance]],37,0))</f>
        <v>1689</v>
      </c>
      <c r="M101">
        <f t="shared" si="10"/>
        <v>0.76184032476319352</v>
      </c>
      <c r="N101" s="73">
        <f t="shared" si="11"/>
        <v>915.19147517970009</v>
      </c>
    </row>
    <row r="102" spans="1:14" x14ac:dyDescent="0.3">
      <c r="A102">
        <v>21045</v>
      </c>
      <c r="B102" t="str">
        <f>VLOOKUP(A102,UninsuredTable[],3,0)</f>
        <v>Howard</v>
      </c>
      <c r="C102">
        <f>VLOOKUP(A102,UninsuredTable[],4,0)</f>
        <v>39374</v>
      </c>
      <c r="D102">
        <f>VLOOKUP(A102,UninsuredTable[],5,0)</f>
        <v>1738</v>
      </c>
      <c r="E102" s="73">
        <v>867.48108784953592</v>
      </c>
      <c r="F102">
        <f>SUM(VLOOKUP(A102,BaseTable[[GEO.id2]:[MOE - 400% FPL and over - 65 years and over - No health insurance]],11,0),VLOOKUP(A102,BaseTable[[GEO.id2]:[MOE - 400% FPL and over - 65 years and over - No health insurance]],31,0),VLOOKUP(A102,BaseTable[[GEO.id2]:[MOE - 400% FPL and over - 65 years and over - No health insurance]],51,0))</f>
        <v>183</v>
      </c>
      <c r="G102">
        <f t="shared" si="6"/>
        <v>0.10529344073647871</v>
      </c>
      <c r="H102" s="73">
        <f t="shared" si="7"/>
        <v>91.340068513501194</v>
      </c>
      <c r="I102">
        <f>SUM(VLOOKUP(A102,BaseTable[[GEO.id2]:[MOE - 400% FPL and over - 65 years and over - No health insurance]],77,0),VLOOKUP(A102,BaseTable[[GEO.id2]:[MOE - 400% FPL and over - 65 years and over - No health insurance]],71,0))</f>
        <v>569</v>
      </c>
      <c r="J102">
        <f t="shared" si="8"/>
        <v>0.32738780207134638</v>
      </c>
      <c r="K102" s="73">
        <f t="shared" si="9"/>
        <v>284.0027266895201</v>
      </c>
      <c r="L102">
        <f>SUM(VLOOKUP(A102,BaseTable[[GEO.id2]:[MOE - 400% FPL and over - 65 years and over - No health insurance]],17,0),VLOOKUP(A102,BaseTable[[GEO.id2]:[MOE - 400% FPL and over - 65 years and over - No health insurance]],57,0),VLOOKUP(A102,BaseTable[[GEO.id2]:[MOE - 400% FPL and over - 65 years and over - No health insurance]],37,0))</f>
        <v>902</v>
      </c>
      <c r="M102">
        <f t="shared" si="10"/>
        <v>0.51898734177215189</v>
      </c>
      <c r="N102" s="73">
        <f t="shared" si="11"/>
        <v>450.2117038206452</v>
      </c>
    </row>
    <row r="103" spans="1:14" x14ac:dyDescent="0.3">
      <c r="A103">
        <v>21046</v>
      </c>
      <c r="B103" t="str">
        <f>VLOOKUP(A103,UninsuredTable[],3,0)</f>
        <v>Howard</v>
      </c>
      <c r="C103">
        <f>VLOOKUP(A103,UninsuredTable[],4,0)</f>
        <v>15985</v>
      </c>
      <c r="D103">
        <f>VLOOKUP(A103,UninsuredTable[],5,0)</f>
        <v>685</v>
      </c>
      <c r="E103" s="73">
        <v>655</v>
      </c>
      <c r="F103">
        <f>SUM(VLOOKUP(A103,BaseTable[[GEO.id2]:[MOE - 400% FPL and over - 65 years and over - No health insurance]],11,0),VLOOKUP(A103,BaseTable[[GEO.id2]:[MOE - 400% FPL and over - 65 years and over - No health insurance]],31,0),VLOOKUP(A103,BaseTable[[GEO.id2]:[MOE - 400% FPL and over - 65 years and over - No health insurance]],51,0))</f>
        <v>239</v>
      </c>
      <c r="G103">
        <f t="shared" si="6"/>
        <v>0.34890510948905107</v>
      </c>
      <c r="H103" s="73">
        <f t="shared" si="7"/>
        <v>228.53284671532845</v>
      </c>
      <c r="I103">
        <f>SUM(VLOOKUP(A103,BaseTable[[GEO.id2]:[MOE - 400% FPL and over - 65 years and over - No health insurance]],77,0),VLOOKUP(A103,BaseTable[[GEO.id2]:[MOE - 400% FPL and over - 65 years and over - No health insurance]],71,0))</f>
        <v>73</v>
      </c>
      <c r="J103">
        <f t="shared" si="8"/>
        <v>0.10656934306569343</v>
      </c>
      <c r="K103" s="73">
        <f t="shared" si="9"/>
        <v>69.802919708029194</v>
      </c>
      <c r="L103">
        <f>SUM(VLOOKUP(A103,BaseTable[[GEO.id2]:[MOE - 400% FPL and over - 65 years and over - No health insurance]],17,0),VLOOKUP(A103,BaseTable[[GEO.id2]:[MOE - 400% FPL and over - 65 years and over - No health insurance]],57,0),VLOOKUP(A103,BaseTable[[GEO.id2]:[MOE - 400% FPL and over - 65 years and over - No health insurance]],37,0))</f>
        <v>343</v>
      </c>
      <c r="M103">
        <f t="shared" si="10"/>
        <v>0.50072992700729924</v>
      </c>
      <c r="N103" s="73">
        <f t="shared" si="11"/>
        <v>327.978102189781</v>
      </c>
    </row>
    <row r="104" spans="1:14" x14ac:dyDescent="0.3">
      <c r="A104">
        <v>21047</v>
      </c>
      <c r="B104" t="str">
        <f>VLOOKUP(A104,UninsuredTable[],3,0)</f>
        <v>Harford</v>
      </c>
      <c r="C104">
        <f>VLOOKUP(A104,UninsuredTable[],4,0)</f>
        <v>12139</v>
      </c>
      <c r="D104">
        <f>VLOOKUP(A104,UninsuredTable[],5,0)</f>
        <v>423</v>
      </c>
      <c r="E104" s="73">
        <v>405</v>
      </c>
      <c r="F104">
        <f>SUM(VLOOKUP(A104,BaseTable[[GEO.id2]:[MOE - 400% FPL and over - 65 years and over - No health insurance]],11,0),VLOOKUP(A104,BaseTable[[GEO.id2]:[MOE - 400% FPL and over - 65 years and over - No health insurance]],31,0),VLOOKUP(A104,BaseTable[[GEO.id2]:[MOE - 400% FPL and over - 65 years and over - No health insurance]],51,0))</f>
        <v>0</v>
      </c>
      <c r="G104">
        <f t="shared" si="6"/>
        <v>0</v>
      </c>
      <c r="H104" s="73">
        <f t="shared" si="7"/>
        <v>0</v>
      </c>
      <c r="I104">
        <f>SUM(VLOOKUP(A104,BaseTable[[GEO.id2]:[MOE - 400% FPL and over - 65 years and over - No health insurance]],77,0),VLOOKUP(A104,BaseTable[[GEO.id2]:[MOE - 400% FPL and over - 65 years and over - No health insurance]],71,0))</f>
        <v>140</v>
      </c>
      <c r="J104">
        <f t="shared" si="8"/>
        <v>0.33096926713947988</v>
      </c>
      <c r="K104" s="73">
        <f t="shared" si="9"/>
        <v>134.04255319148936</v>
      </c>
      <c r="L104">
        <f>SUM(VLOOKUP(A104,BaseTable[[GEO.id2]:[MOE - 400% FPL and over - 65 years and over - No health insurance]],17,0),VLOOKUP(A104,BaseTable[[GEO.id2]:[MOE - 400% FPL and over - 65 years and over - No health insurance]],57,0),VLOOKUP(A104,BaseTable[[GEO.id2]:[MOE - 400% FPL and over - 65 years and over - No health insurance]],37,0))</f>
        <v>265</v>
      </c>
      <c r="M104">
        <f t="shared" si="10"/>
        <v>0.62647754137115841</v>
      </c>
      <c r="N104" s="73">
        <f t="shared" si="11"/>
        <v>253.72340425531917</v>
      </c>
    </row>
    <row r="105" spans="1:14" x14ac:dyDescent="0.3">
      <c r="A105">
        <v>21048</v>
      </c>
      <c r="B105" t="str">
        <f>VLOOKUP(A105,UninsuredTable[],3,0)</f>
        <v>Carroll</v>
      </c>
      <c r="C105">
        <f>VLOOKUP(A105,UninsuredTable[],4,0)</f>
        <v>10602</v>
      </c>
      <c r="D105">
        <f>VLOOKUP(A105,UninsuredTable[],5,0)</f>
        <v>323</v>
      </c>
      <c r="E105" s="73">
        <v>323</v>
      </c>
      <c r="F105">
        <f>SUM(VLOOKUP(A105,BaseTable[[GEO.id2]:[MOE - 400% FPL and over - 65 years and over - No health insurance]],11,0),VLOOKUP(A105,BaseTable[[GEO.id2]:[MOE - 400% FPL and over - 65 years and over - No health insurance]],31,0),VLOOKUP(A105,BaseTable[[GEO.id2]:[MOE - 400% FPL and over - 65 years and over - No health insurance]],51,0))</f>
        <v>39</v>
      </c>
      <c r="G105">
        <f t="shared" si="6"/>
        <v>0.12074303405572756</v>
      </c>
      <c r="H105" s="73">
        <f t="shared" si="7"/>
        <v>39</v>
      </c>
      <c r="I105">
        <f>SUM(VLOOKUP(A105,BaseTable[[GEO.id2]:[MOE - 400% FPL and over - 65 years and over - No health insurance]],77,0),VLOOKUP(A105,BaseTable[[GEO.id2]:[MOE - 400% FPL and over - 65 years and over - No health insurance]],71,0))</f>
        <v>109</v>
      </c>
      <c r="J105">
        <f t="shared" si="8"/>
        <v>0.33746130030959753</v>
      </c>
      <c r="K105" s="73">
        <f t="shared" si="9"/>
        <v>109</v>
      </c>
      <c r="L105">
        <f>SUM(VLOOKUP(A105,BaseTable[[GEO.id2]:[MOE - 400% FPL and over - 65 years and over - No health insurance]],17,0),VLOOKUP(A105,BaseTable[[GEO.id2]:[MOE - 400% FPL and over - 65 years and over - No health insurance]],57,0),VLOOKUP(A105,BaseTable[[GEO.id2]:[MOE - 400% FPL and over - 65 years and over - No health insurance]],37,0))</f>
        <v>175</v>
      </c>
      <c r="M105">
        <f t="shared" si="10"/>
        <v>0.54179566563467496</v>
      </c>
      <c r="N105" s="73">
        <f t="shared" si="11"/>
        <v>175</v>
      </c>
    </row>
    <row r="106" spans="1:14" x14ac:dyDescent="0.3">
      <c r="A106">
        <v>21050</v>
      </c>
      <c r="B106" t="str">
        <f>VLOOKUP(A106,UninsuredTable[],3,0)</f>
        <v>Harford</v>
      </c>
      <c r="C106">
        <f>VLOOKUP(A106,UninsuredTable[],4,0)</f>
        <v>17828</v>
      </c>
      <c r="D106">
        <f>VLOOKUP(A106,UninsuredTable[],5,0)</f>
        <v>407</v>
      </c>
      <c r="E106" s="73">
        <v>407</v>
      </c>
      <c r="F106">
        <f>SUM(VLOOKUP(A106,BaseTable[[GEO.id2]:[MOE - 400% FPL and over - 65 years and over - No health insurance]],11,0),VLOOKUP(A106,BaseTable[[GEO.id2]:[MOE - 400% FPL and over - 65 years and over - No health insurance]],31,0),VLOOKUP(A106,BaseTable[[GEO.id2]:[MOE - 400% FPL and over - 65 years and over - No health insurance]],51,0))</f>
        <v>42</v>
      </c>
      <c r="G106">
        <f t="shared" si="6"/>
        <v>0.10319410319410319</v>
      </c>
      <c r="H106" s="73">
        <f t="shared" si="7"/>
        <v>42</v>
      </c>
      <c r="I106">
        <f>SUM(VLOOKUP(A106,BaseTable[[GEO.id2]:[MOE - 400% FPL and over - 65 years and over - No health insurance]],77,0),VLOOKUP(A106,BaseTable[[GEO.id2]:[MOE - 400% FPL and over - 65 years and over - No health insurance]],71,0))</f>
        <v>112</v>
      </c>
      <c r="J106">
        <f t="shared" si="8"/>
        <v>0.27518427518427518</v>
      </c>
      <c r="K106" s="73">
        <f t="shared" si="9"/>
        <v>112</v>
      </c>
      <c r="L106">
        <f>SUM(VLOOKUP(A106,BaseTable[[GEO.id2]:[MOE - 400% FPL and over - 65 years and over - No health insurance]],17,0),VLOOKUP(A106,BaseTable[[GEO.id2]:[MOE - 400% FPL and over - 65 years and over - No health insurance]],57,0),VLOOKUP(A106,BaseTable[[GEO.id2]:[MOE - 400% FPL and over - 65 years and over - No health insurance]],37,0))</f>
        <v>253</v>
      </c>
      <c r="M106">
        <f t="shared" si="10"/>
        <v>0.6216216216216216</v>
      </c>
      <c r="N106" s="73">
        <f t="shared" si="11"/>
        <v>253</v>
      </c>
    </row>
    <row r="107" spans="1:14" x14ac:dyDescent="0.3">
      <c r="A107">
        <v>21053</v>
      </c>
      <c r="B107" t="str">
        <f>VLOOKUP(A107,UninsuredTable[],3,0)</f>
        <v>Baltimore</v>
      </c>
      <c r="C107">
        <f>VLOOKUP(A107,UninsuredTable[],4,0)</f>
        <v>3559</v>
      </c>
      <c r="D107">
        <f>VLOOKUP(A107,UninsuredTable[],5,0)</f>
        <v>387</v>
      </c>
      <c r="E107" s="73">
        <v>387</v>
      </c>
      <c r="F107">
        <f>SUM(VLOOKUP(A107,BaseTable[[GEO.id2]:[MOE - 400% FPL and over - 65 years and over - No health insurance]],11,0),VLOOKUP(A107,BaseTable[[GEO.id2]:[MOE - 400% FPL and over - 65 years and over - No health insurance]],31,0),VLOOKUP(A107,BaseTable[[GEO.id2]:[MOE - 400% FPL and over - 65 years and over - No health insurance]],51,0))</f>
        <v>36</v>
      </c>
      <c r="G107">
        <f t="shared" si="6"/>
        <v>9.3023255813953487E-2</v>
      </c>
      <c r="H107" s="73">
        <f t="shared" si="7"/>
        <v>36</v>
      </c>
      <c r="I107">
        <f>SUM(VLOOKUP(A107,BaseTable[[GEO.id2]:[MOE - 400% FPL and over - 65 years and over - No health insurance]],77,0),VLOOKUP(A107,BaseTable[[GEO.id2]:[MOE - 400% FPL and over - 65 years and over - No health insurance]],71,0))</f>
        <v>117</v>
      </c>
      <c r="J107">
        <f t="shared" si="8"/>
        <v>0.30232558139534882</v>
      </c>
      <c r="K107" s="73">
        <f t="shared" si="9"/>
        <v>117</v>
      </c>
      <c r="L107">
        <f>SUM(VLOOKUP(A107,BaseTable[[GEO.id2]:[MOE - 400% FPL and over - 65 years and over - No health insurance]],17,0),VLOOKUP(A107,BaseTable[[GEO.id2]:[MOE - 400% FPL and over - 65 years and over - No health insurance]],57,0),VLOOKUP(A107,BaseTable[[GEO.id2]:[MOE - 400% FPL and over - 65 years and over - No health insurance]],37,0))</f>
        <v>234</v>
      </c>
      <c r="M107">
        <f t="shared" si="10"/>
        <v>0.60465116279069764</v>
      </c>
      <c r="N107" s="73">
        <f t="shared" si="11"/>
        <v>234</v>
      </c>
    </row>
    <row r="108" spans="1:14" x14ac:dyDescent="0.3">
      <c r="A108">
        <v>21054</v>
      </c>
      <c r="B108" t="str">
        <f>VLOOKUP(A108,UninsuredTable[],3,0)</f>
        <v>Anne Arundel</v>
      </c>
      <c r="C108">
        <f>VLOOKUP(A108,UninsuredTable[],4,0)</f>
        <v>10159</v>
      </c>
      <c r="D108">
        <f>VLOOKUP(A108,UninsuredTable[],5,0)</f>
        <v>294</v>
      </c>
      <c r="E108" s="73">
        <v>294</v>
      </c>
      <c r="F108">
        <f>SUM(VLOOKUP(A108,BaseTable[[GEO.id2]:[MOE - 400% FPL and over - 65 years and over - No health insurance]],11,0),VLOOKUP(A108,BaseTable[[GEO.id2]:[MOE - 400% FPL and over - 65 years and over - No health insurance]],31,0),VLOOKUP(A108,BaseTable[[GEO.id2]:[MOE - 400% FPL and over - 65 years and over - No health insurance]],51,0))</f>
        <v>13</v>
      </c>
      <c r="G108">
        <f t="shared" si="6"/>
        <v>4.4217687074829932E-2</v>
      </c>
      <c r="H108" s="73">
        <f t="shared" si="7"/>
        <v>13</v>
      </c>
      <c r="I108">
        <f>SUM(VLOOKUP(A108,BaseTable[[GEO.id2]:[MOE - 400% FPL and over - 65 years and over - No health insurance]],77,0),VLOOKUP(A108,BaseTable[[GEO.id2]:[MOE - 400% FPL and over - 65 years and over - No health insurance]],71,0))</f>
        <v>177</v>
      </c>
      <c r="J108">
        <f t="shared" si="8"/>
        <v>0.60204081632653061</v>
      </c>
      <c r="K108" s="73">
        <f t="shared" si="9"/>
        <v>177</v>
      </c>
      <c r="L108">
        <f>SUM(VLOOKUP(A108,BaseTable[[GEO.id2]:[MOE - 400% FPL and over - 65 years and over - No health insurance]],17,0),VLOOKUP(A108,BaseTable[[GEO.id2]:[MOE - 400% FPL and over - 65 years and over - No health insurance]],57,0),VLOOKUP(A108,BaseTable[[GEO.id2]:[MOE - 400% FPL and over - 65 years and over - No health insurance]],37,0))</f>
        <v>104</v>
      </c>
      <c r="M108">
        <f t="shared" si="10"/>
        <v>0.35374149659863946</v>
      </c>
      <c r="N108" s="73">
        <f t="shared" si="11"/>
        <v>104</v>
      </c>
    </row>
    <row r="109" spans="1:14" x14ac:dyDescent="0.3">
      <c r="A109">
        <v>21060</v>
      </c>
      <c r="B109" t="str">
        <f>VLOOKUP(A109,UninsuredTable[],3,0)</f>
        <v>Anne Arundel</v>
      </c>
      <c r="C109">
        <f>VLOOKUP(A109,UninsuredTable[],4,0)</f>
        <v>32228</v>
      </c>
      <c r="D109">
        <f>VLOOKUP(A109,UninsuredTable[],5,0)</f>
        <v>2466</v>
      </c>
      <c r="E109" s="73">
        <v>1538.0434347628875</v>
      </c>
      <c r="F109">
        <f>SUM(VLOOKUP(A109,BaseTable[[GEO.id2]:[MOE - 400% FPL and over - 65 years and over - No health insurance]],11,0),VLOOKUP(A109,BaseTable[[GEO.id2]:[MOE - 400% FPL and over - 65 years and over - No health insurance]],31,0),VLOOKUP(A109,BaseTable[[GEO.id2]:[MOE - 400% FPL and over - 65 years and over - No health insurance]],51,0))</f>
        <v>278</v>
      </c>
      <c r="G109">
        <f t="shared" si="6"/>
        <v>0.11273317112733171</v>
      </c>
      <c r="H109" s="73">
        <f t="shared" si="7"/>
        <v>173.38851373239365</v>
      </c>
      <c r="I109">
        <f>SUM(VLOOKUP(A109,BaseTable[[GEO.id2]:[MOE - 400% FPL and over - 65 years and over - No health insurance]],77,0),VLOOKUP(A109,BaseTable[[GEO.id2]:[MOE - 400% FPL and over - 65 years and over - No health insurance]],71,0))</f>
        <v>417</v>
      </c>
      <c r="J109">
        <f t="shared" si="8"/>
        <v>0.16909975669099755</v>
      </c>
      <c r="K109" s="73">
        <f t="shared" si="9"/>
        <v>260.08277059859046</v>
      </c>
      <c r="L109">
        <f>SUM(VLOOKUP(A109,BaseTable[[GEO.id2]:[MOE - 400% FPL and over - 65 years and over - No health insurance]],17,0),VLOOKUP(A109,BaseTable[[GEO.id2]:[MOE - 400% FPL and over - 65 years and over - No health insurance]],57,0),VLOOKUP(A109,BaseTable[[GEO.id2]:[MOE - 400% FPL and over - 65 years and over - No health insurance]],37,0))</f>
        <v>1659</v>
      </c>
      <c r="M109">
        <f t="shared" si="10"/>
        <v>0.67274939172749393</v>
      </c>
      <c r="N109" s="73">
        <f t="shared" si="11"/>
        <v>1034.7177851871982</v>
      </c>
    </row>
    <row r="110" spans="1:14" x14ac:dyDescent="0.3">
      <c r="A110">
        <v>21061</v>
      </c>
      <c r="B110" t="str">
        <f>VLOOKUP(A110,UninsuredTable[],3,0)</f>
        <v>Anne Arundel</v>
      </c>
      <c r="C110">
        <f>VLOOKUP(A110,UninsuredTable[],4,0)</f>
        <v>53083</v>
      </c>
      <c r="D110">
        <f>VLOOKUP(A110,UninsuredTable[],5,0)</f>
        <v>4209</v>
      </c>
      <c r="E110" s="73">
        <v>2631.5724242792076</v>
      </c>
      <c r="F110">
        <f>SUM(VLOOKUP(A110,BaseTable[[GEO.id2]:[MOE - 400% FPL and over - 65 years and over - No health insurance]],11,0),VLOOKUP(A110,BaseTable[[GEO.id2]:[MOE - 400% FPL and over - 65 years and over - No health insurance]],31,0),VLOOKUP(A110,BaseTable[[GEO.id2]:[MOE - 400% FPL and over - 65 years and over - No health insurance]],51,0))</f>
        <v>502</v>
      </c>
      <c r="G110">
        <f t="shared" si="6"/>
        <v>0.11926823473509147</v>
      </c>
      <c r="H110" s="73">
        <f t="shared" si="7"/>
        <v>313.86299762132626</v>
      </c>
      <c r="I110">
        <f>SUM(VLOOKUP(A110,BaseTable[[GEO.id2]:[MOE - 400% FPL and over - 65 years and over - No health insurance]],77,0),VLOOKUP(A110,BaseTable[[GEO.id2]:[MOE - 400% FPL and over - 65 years and over - No health insurance]],71,0))</f>
        <v>569</v>
      </c>
      <c r="J110">
        <f t="shared" si="8"/>
        <v>0.13518650510810168</v>
      </c>
      <c r="K110" s="73">
        <f t="shared" si="9"/>
        <v>355.75307897716061</v>
      </c>
      <c r="L110">
        <f>SUM(VLOOKUP(A110,BaseTable[[GEO.id2]:[MOE - 400% FPL and over - 65 years and over - No health insurance]],17,0),VLOOKUP(A110,BaseTable[[GEO.id2]:[MOE - 400% FPL and over - 65 years and over - No health insurance]],57,0),VLOOKUP(A110,BaseTable[[GEO.id2]:[MOE - 400% FPL and over - 65 years and over - No health insurance]],37,0))</f>
        <v>3101</v>
      </c>
      <c r="M110">
        <f t="shared" si="10"/>
        <v>0.73675457353290563</v>
      </c>
      <c r="N110" s="73">
        <f t="shared" si="11"/>
        <v>1938.8230191707821</v>
      </c>
    </row>
    <row r="111" spans="1:14" x14ac:dyDescent="0.3">
      <c r="A111">
        <v>21074</v>
      </c>
      <c r="B111" t="str">
        <f>VLOOKUP(A111,UninsuredTable[],3,0)</f>
        <v>Carroll</v>
      </c>
      <c r="C111">
        <f>VLOOKUP(A111,UninsuredTable[],4,0)</f>
        <v>14914</v>
      </c>
      <c r="D111">
        <f>VLOOKUP(A111,UninsuredTable[],5,0)</f>
        <v>469</v>
      </c>
      <c r="E111" s="73">
        <v>469</v>
      </c>
      <c r="F111">
        <f>SUM(VLOOKUP(A111,BaseTable[[GEO.id2]:[MOE - 400% FPL and over - 65 years and over - No health insurance]],11,0),VLOOKUP(A111,BaseTable[[GEO.id2]:[MOE - 400% FPL and over - 65 years and over - No health insurance]],31,0),VLOOKUP(A111,BaseTable[[GEO.id2]:[MOE - 400% FPL and over - 65 years and over - No health insurance]],51,0))</f>
        <v>68</v>
      </c>
      <c r="G111">
        <f t="shared" si="6"/>
        <v>0.14498933901918976</v>
      </c>
      <c r="H111" s="73">
        <f t="shared" si="7"/>
        <v>68</v>
      </c>
      <c r="I111">
        <f>SUM(VLOOKUP(A111,BaseTable[[GEO.id2]:[MOE - 400% FPL and over - 65 years and over - No health insurance]],77,0),VLOOKUP(A111,BaseTable[[GEO.id2]:[MOE - 400% FPL and over - 65 years and over - No health insurance]],71,0))</f>
        <v>36</v>
      </c>
      <c r="J111">
        <f t="shared" si="8"/>
        <v>7.6759061833688705E-2</v>
      </c>
      <c r="K111" s="73">
        <f t="shared" si="9"/>
        <v>36</v>
      </c>
      <c r="L111">
        <f>SUM(VLOOKUP(A111,BaseTable[[GEO.id2]:[MOE - 400% FPL and over - 65 years and over - No health insurance]],17,0),VLOOKUP(A111,BaseTable[[GEO.id2]:[MOE - 400% FPL and over - 65 years and over - No health insurance]],57,0),VLOOKUP(A111,BaseTable[[GEO.id2]:[MOE - 400% FPL and over - 65 years and over - No health insurance]],37,0))</f>
        <v>365</v>
      </c>
      <c r="M111">
        <f t="shared" si="10"/>
        <v>0.7782515991471215</v>
      </c>
      <c r="N111" s="73">
        <f t="shared" si="11"/>
        <v>365</v>
      </c>
    </row>
    <row r="112" spans="1:14" x14ac:dyDescent="0.3">
      <c r="A112">
        <v>21075</v>
      </c>
      <c r="B112" t="str">
        <f>VLOOKUP(A112,UninsuredTable[],3,0)</f>
        <v>Howard</v>
      </c>
      <c r="C112">
        <f>VLOOKUP(A112,UninsuredTable[],4,0)</f>
        <v>30930</v>
      </c>
      <c r="D112">
        <f>VLOOKUP(A112,UninsuredTable[],5,0)</f>
        <v>2023</v>
      </c>
      <c r="E112" s="73">
        <v>1113.8540615477004</v>
      </c>
      <c r="F112">
        <f>SUM(VLOOKUP(A112,BaseTable[[GEO.id2]:[MOE - 400% FPL and over - 65 years and over - No health insurance]],11,0),VLOOKUP(A112,BaseTable[[GEO.id2]:[MOE - 400% FPL and over - 65 years and over - No health insurance]],31,0),VLOOKUP(A112,BaseTable[[GEO.id2]:[MOE - 400% FPL and over - 65 years and over - No health insurance]],51,0))</f>
        <v>305</v>
      </c>
      <c r="G112">
        <f t="shared" si="6"/>
        <v>0.15076618882847256</v>
      </c>
      <c r="H112" s="73">
        <f t="shared" si="7"/>
        <v>167.93153177066171</v>
      </c>
      <c r="I112">
        <f>SUM(VLOOKUP(A112,BaseTable[[GEO.id2]:[MOE - 400% FPL and over - 65 years and over - No health insurance]],77,0),VLOOKUP(A112,BaseTable[[GEO.id2]:[MOE - 400% FPL and over - 65 years and over - No health insurance]],71,0))</f>
        <v>587</v>
      </c>
      <c r="J112">
        <f t="shared" si="8"/>
        <v>0.2901631240731587</v>
      </c>
      <c r="K112" s="73">
        <f t="shared" si="9"/>
        <v>323.19937426025717</v>
      </c>
      <c r="L112">
        <f>SUM(VLOOKUP(A112,BaseTable[[GEO.id2]:[MOE - 400% FPL and over - 65 years and over - No health insurance]],17,0),VLOOKUP(A112,BaseTable[[GEO.id2]:[MOE - 400% FPL and over - 65 years and over - No health insurance]],57,0),VLOOKUP(A112,BaseTable[[GEO.id2]:[MOE - 400% FPL and over - 65 years and over - No health insurance]],37,0))</f>
        <v>1131</v>
      </c>
      <c r="M112">
        <f t="shared" si="10"/>
        <v>0.55907068709836871</v>
      </c>
      <c r="N112" s="73">
        <f t="shared" si="11"/>
        <v>622.7231555167815</v>
      </c>
    </row>
    <row r="113" spans="1:14" x14ac:dyDescent="0.3">
      <c r="A113">
        <v>21076</v>
      </c>
      <c r="B113" t="str">
        <f>VLOOKUP(A113,UninsuredTable[],3,0)</f>
        <v>Anne Arundel</v>
      </c>
      <c r="C113">
        <f>VLOOKUP(A113,UninsuredTable[],4,0)</f>
        <v>16009</v>
      </c>
      <c r="D113">
        <f>VLOOKUP(A113,UninsuredTable[],5,0)</f>
        <v>590</v>
      </c>
      <c r="E113" s="73">
        <v>590</v>
      </c>
      <c r="F113">
        <f>SUM(VLOOKUP(A113,BaseTable[[GEO.id2]:[MOE - 400% FPL and over - 65 years and over - No health insurance]],11,0),VLOOKUP(A113,BaseTable[[GEO.id2]:[MOE - 400% FPL and over - 65 years and over - No health insurance]],31,0),VLOOKUP(A113,BaseTable[[GEO.id2]:[MOE - 400% FPL and over - 65 years and over - No health insurance]],51,0))</f>
        <v>23</v>
      </c>
      <c r="G113">
        <f t="shared" si="6"/>
        <v>3.898305084745763E-2</v>
      </c>
      <c r="H113" s="73">
        <f t="shared" si="7"/>
        <v>23</v>
      </c>
      <c r="I113">
        <f>SUM(VLOOKUP(A113,BaseTable[[GEO.id2]:[MOE - 400% FPL and over - 65 years and over - No health insurance]],77,0),VLOOKUP(A113,BaseTable[[GEO.id2]:[MOE - 400% FPL and over - 65 years and over - No health insurance]],71,0))</f>
        <v>295</v>
      </c>
      <c r="J113">
        <f t="shared" si="8"/>
        <v>0.5</v>
      </c>
      <c r="K113" s="73">
        <f t="shared" si="9"/>
        <v>295</v>
      </c>
      <c r="L113">
        <f>SUM(VLOOKUP(A113,BaseTable[[GEO.id2]:[MOE - 400% FPL and over - 65 years and over - No health insurance]],17,0),VLOOKUP(A113,BaseTable[[GEO.id2]:[MOE - 400% FPL and over - 65 years and over - No health insurance]],57,0),VLOOKUP(A113,BaseTable[[GEO.id2]:[MOE - 400% FPL and over - 65 years and over - No health insurance]],37,0))</f>
        <v>272</v>
      </c>
      <c r="M113">
        <f t="shared" si="10"/>
        <v>0.46101694915254238</v>
      </c>
      <c r="N113" s="73">
        <f t="shared" si="11"/>
        <v>272</v>
      </c>
    </row>
    <row r="114" spans="1:14" x14ac:dyDescent="0.3">
      <c r="A114">
        <v>21078</v>
      </c>
      <c r="B114" t="str">
        <f>VLOOKUP(A114,UninsuredTable[],3,0)</f>
        <v>Harford</v>
      </c>
      <c r="C114">
        <f>VLOOKUP(A114,UninsuredTable[],4,0)</f>
        <v>17823</v>
      </c>
      <c r="D114">
        <f>VLOOKUP(A114,UninsuredTable[],5,0)</f>
        <v>552</v>
      </c>
      <c r="E114" s="73">
        <v>552</v>
      </c>
      <c r="F114">
        <f>SUM(VLOOKUP(A114,BaseTable[[GEO.id2]:[MOE - 400% FPL and over - 65 years and over - No health insurance]],11,0),VLOOKUP(A114,BaseTable[[GEO.id2]:[MOE - 400% FPL and over - 65 years and over - No health insurance]],31,0),VLOOKUP(A114,BaseTable[[GEO.id2]:[MOE - 400% FPL and over - 65 years and over - No health insurance]],51,0))</f>
        <v>68</v>
      </c>
      <c r="G114">
        <f t="shared" si="6"/>
        <v>0.12318840579710146</v>
      </c>
      <c r="H114" s="73">
        <f t="shared" si="7"/>
        <v>68</v>
      </c>
      <c r="I114">
        <f>SUM(VLOOKUP(A114,BaseTable[[GEO.id2]:[MOE - 400% FPL and over - 65 years and over - No health insurance]],77,0),VLOOKUP(A114,BaseTable[[GEO.id2]:[MOE - 400% FPL and over - 65 years and over - No health insurance]],71,0))</f>
        <v>110</v>
      </c>
      <c r="J114">
        <f t="shared" si="8"/>
        <v>0.19927536231884058</v>
      </c>
      <c r="K114" s="73">
        <f t="shared" si="9"/>
        <v>110</v>
      </c>
      <c r="L114">
        <f>SUM(VLOOKUP(A114,BaseTable[[GEO.id2]:[MOE - 400% FPL and over - 65 years and over - No health insurance]],17,0),VLOOKUP(A114,BaseTable[[GEO.id2]:[MOE - 400% FPL and over - 65 years and over - No health insurance]],57,0),VLOOKUP(A114,BaseTable[[GEO.id2]:[MOE - 400% FPL and over - 65 years and over - No health insurance]],37,0))</f>
        <v>374</v>
      </c>
      <c r="M114">
        <f t="shared" si="10"/>
        <v>0.67753623188405798</v>
      </c>
      <c r="N114" s="73">
        <f t="shared" si="11"/>
        <v>374</v>
      </c>
    </row>
    <row r="115" spans="1:14" x14ac:dyDescent="0.3">
      <c r="A115">
        <v>21084</v>
      </c>
      <c r="B115" t="str">
        <f>VLOOKUP(A115,UninsuredTable[],3,0)</f>
        <v>Harford</v>
      </c>
      <c r="C115">
        <f>VLOOKUP(A115,UninsuredTable[],4,0)</f>
        <v>7731</v>
      </c>
      <c r="D115">
        <f>VLOOKUP(A115,UninsuredTable[],5,0)</f>
        <v>269</v>
      </c>
      <c r="E115" s="73">
        <v>269</v>
      </c>
      <c r="F115">
        <f>SUM(VLOOKUP(A115,BaseTable[[GEO.id2]:[MOE - 400% FPL and over - 65 years and over - No health insurance]],11,0),VLOOKUP(A115,BaseTable[[GEO.id2]:[MOE - 400% FPL and over - 65 years and over - No health insurance]],31,0),VLOOKUP(A115,BaseTable[[GEO.id2]:[MOE - 400% FPL and over - 65 years and over - No health insurance]],51,0))</f>
        <v>26</v>
      </c>
      <c r="G115">
        <f t="shared" si="6"/>
        <v>9.6654275092936809E-2</v>
      </c>
      <c r="H115" s="73">
        <f t="shared" si="7"/>
        <v>26</v>
      </c>
      <c r="I115">
        <f>SUM(VLOOKUP(A115,BaseTable[[GEO.id2]:[MOE - 400% FPL and over - 65 years and over - No health insurance]],77,0),VLOOKUP(A115,BaseTable[[GEO.id2]:[MOE - 400% FPL and over - 65 years and over - No health insurance]],71,0))</f>
        <v>44</v>
      </c>
      <c r="J115">
        <f t="shared" si="8"/>
        <v>0.16356877323420074</v>
      </c>
      <c r="K115" s="73">
        <f t="shared" si="9"/>
        <v>44</v>
      </c>
      <c r="L115">
        <f>SUM(VLOOKUP(A115,BaseTable[[GEO.id2]:[MOE - 400% FPL and over - 65 years and over - No health insurance]],17,0),VLOOKUP(A115,BaseTable[[GEO.id2]:[MOE - 400% FPL and over - 65 years and over - No health insurance]],57,0),VLOOKUP(A115,BaseTable[[GEO.id2]:[MOE - 400% FPL and over - 65 years and over - No health insurance]],37,0))</f>
        <v>199</v>
      </c>
      <c r="M115">
        <f t="shared" si="10"/>
        <v>0.7397769516728625</v>
      </c>
      <c r="N115" s="73">
        <f t="shared" si="11"/>
        <v>199</v>
      </c>
    </row>
    <row r="116" spans="1:14" x14ac:dyDescent="0.3">
      <c r="A116">
        <v>21085</v>
      </c>
      <c r="B116" t="str">
        <f>VLOOKUP(A116,UninsuredTable[],3,0)</f>
        <v>Harford</v>
      </c>
      <c r="C116">
        <f>VLOOKUP(A116,UninsuredTable[],4,0)</f>
        <v>16116</v>
      </c>
      <c r="D116">
        <f>VLOOKUP(A116,UninsuredTable[],5,0)</f>
        <v>584</v>
      </c>
      <c r="E116" s="73">
        <v>584</v>
      </c>
      <c r="F116">
        <f>SUM(VLOOKUP(A116,BaseTable[[GEO.id2]:[MOE - 400% FPL and over - 65 years and over - No health insurance]],11,0),VLOOKUP(A116,BaseTable[[GEO.id2]:[MOE - 400% FPL and over - 65 years and over - No health insurance]],31,0),VLOOKUP(A116,BaseTable[[GEO.id2]:[MOE - 400% FPL and over - 65 years and over - No health insurance]],51,0))</f>
        <v>88</v>
      </c>
      <c r="G116">
        <f t="shared" si="6"/>
        <v>0.15068493150684931</v>
      </c>
      <c r="H116" s="73">
        <f t="shared" si="7"/>
        <v>88</v>
      </c>
      <c r="I116">
        <f>SUM(VLOOKUP(A116,BaseTable[[GEO.id2]:[MOE - 400% FPL and over - 65 years and over - No health insurance]],77,0),VLOOKUP(A116,BaseTable[[GEO.id2]:[MOE - 400% FPL and over - 65 years and over - No health insurance]],71,0))</f>
        <v>139</v>
      </c>
      <c r="J116">
        <f t="shared" si="8"/>
        <v>0.23801369863013699</v>
      </c>
      <c r="K116" s="73">
        <f t="shared" si="9"/>
        <v>139</v>
      </c>
      <c r="L116">
        <f>SUM(VLOOKUP(A116,BaseTable[[GEO.id2]:[MOE - 400% FPL and over - 65 years and over - No health insurance]],17,0),VLOOKUP(A116,BaseTable[[GEO.id2]:[MOE - 400% FPL and over - 65 years and over - No health insurance]],57,0),VLOOKUP(A116,BaseTable[[GEO.id2]:[MOE - 400% FPL and over - 65 years and over - No health insurance]],37,0))</f>
        <v>357</v>
      </c>
      <c r="M116">
        <f t="shared" si="10"/>
        <v>0.61130136986301364</v>
      </c>
      <c r="N116" s="73">
        <f t="shared" si="11"/>
        <v>356.99999999999994</v>
      </c>
    </row>
    <row r="117" spans="1:14" x14ac:dyDescent="0.3">
      <c r="A117">
        <v>21090</v>
      </c>
      <c r="B117" t="str">
        <f>VLOOKUP(A117,UninsuredTable[],3,0)</f>
        <v>Anne Arundel</v>
      </c>
      <c r="C117">
        <f>VLOOKUP(A117,UninsuredTable[],4,0)</f>
        <v>10377</v>
      </c>
      <c r="D117">
        <f>VLOOKUP(A117,UninsuredTable[],5,0)</f>
        <v>569</v>
      </c>
      <c r="E117" s="73">
        <v>569</v>
      </c>
      <c r="F117">
        <f>SUM(VLOOKUP(A117,BaseTable[[GEO.id2]:[MOE - 400% FPL and over - 65 years and over - No health insurance]],11,0),VLOOKUP(A117,BaseTable[[GEO.id2]:[MOE - 400% FPL and over - 65 years and over - No health insurance]],31,0),VLOOKUP(A117,BaseTable[[GEO.id2]:[MOE - 400% FPL and over - 65 years and over - No health insurance]],51,0))</f>
        <v>22</v>
      </c>
      <c r="G117">
        <f t="shared" si="6"/>
        <v>3.8664323374340948E-2</v>
      </c>
      <c r="H117" s="73">
        <f t="shared" si="7"/>
        <v>22</v>
      </c>
      <c r="I117">
        <f>SUM(VLOOKUP(A117,BaseTable[[GEO.id2]:[MOE - 400% FPL and over - 65 years and over - No health insurance]],77,0),VLOOKUP(A117,BaseTable[[GEO.id2]:[MOE - 400% FPL and over - 65 years and over - No health insurance]],71,0))</f>
        <v>314</v>
      </c>
      <c r="J117">
        <f t="shared" si="8"/>
        <v>0.55184534270650265</v>
      </c>
      <c r="K117" s="73">
        <f t="shared" si="9"/>
        <v>314</v>
      </c>
      <c r="L117">
        <f>SUM(VLOOKUP(A117,BaseTable[[GEO.id2]:[MOE - 400% FPL and over - 65 years and over - No health insurance]],17,0),VLOOKUP(A117,BaseTable[[GEO.id2]:[MOE - 400% FPL and over - 65 years and over - No health insurance]],57,0),VLOOKUP(A117,BaseTable[[GEO.id2]:[MOE - 400% FPL and over - 65 years and over - No health insurance]],37,0))</f>
        <v>233</v>
      </c>
      <c r="M117">
        <f t="shared" si="10"/>
        <v>0.4094903339191564</v>
      </c>
      <c r="N117" s="73">
        <f t="shared" si="11"/>
        <v>233</v>
      </c>
    </row>
    <row r="118" spans="1:14" x14ac:dyDescent="0.3">
      <c r="A118">
        <v>21093</v>
      </c>
      <c r="B118" t="str">
        <f>VLOOKUP(A118,UninsuredTable[],3,0)</f>
        <v>Baltimore</v>
      </c>
      <c r="C118">
        <f>VLOOKUP(A118,UninsuredTable[],4,0)</f>
        <v>37262</v>
      </c>
      <c r="D118">
        <f>VLOOKUP(A118,UninsuredTable[],5,0)</f>
        <v>1058</v>
      </c>
      <c r="E118" s="73">
        <v>747.33793226814203</v>
      </c>
      <c r="F118">
        <f>SUM(VLOOKUP(A118,BaseTable[[GEO.id2]:[MOE - 400% FPL and over - 65 years and over - No health insurance]],11,0),VLOOKUP(A118,BaseTable[[GEO.id2]:[MOE - 400% FPL and over - 65 years and over - No health insurance]],31,0),VLOOKUP(A118,BaseTable[[GEO.id2]:[MOE - 400% FPL and over - 65 years and over - No health insurance]],51,0))</f>
        <v>84</v>
      </c>
      <c r="G118">
        <f t="shared" si="6"/>
        <v>7.9395085066162566E-2</v>
      </c>
      <c r="H118" s="73">
        <f t="shared" si="7"/>
        <v>59.334958705599171</v>
      </c>
      <c r="I118">
        <f>SUM(VLOOKUP(A118,BaseTable[[GEO.id2]:[MOE - 400% FPL and over - 65 years and over - No health insurance]],77,0),VLOOKUP(A118,BaseTable[[GEO.id2]:[MOE - 400% FPL and over - 65 years and over - No health insurance]],71,0))</f>
        <v>306</v>
      </c>
      <c r="J118">
        <f t="shared" si="8"/>
        <v>0.28922495274102078</v>
      </c>
      <c r="K118" s="73">
        <f t="shared" si="9"/>
        <v>216.14877814182557</v>
      </c>
      <c r="L118">
        <f>SUM(VLOOKUP(A118,BaseTable[[GEO.id2]:[MOE - 400% FPL and over - 65 years and over - No health insurance]],17,0),VLOOKUP(A118,BaseTable[[GEO.id2]:[MOE - 400% FPL and over - 65 years and over - No health insurance]],57,0),VLOOKUP(A118,BaseTable[[GEO.id2]:[MOE - 400% FPL and over - 65 years and over - No health insurance]],37,0))</f>
        <v>648</v>
      </c>
      <c r="M118">
        <f t="shared" si="10"/>
        <v>0.61247637051039694</v>
      </c>
      <c r="N118" s="73">
        <f t="shared" si="11"/>
        <v>457.72682430033649</v>
      </c>
    </row>
    <row r="119" spans="1:14" x14ac:dyDescent="0.3">
      <c r="A119">
        <v>21108</v>
      </c>
      <c r="B119" t="str">
        <f>VLOOKUP(A119,UninsuredTable[],3,0)</f>
        <v>Anne Arundel</v>
      </c>
      <c r="C119">
        <f>VLOOKUP(A119,UninsuredTable[],4,0)</f>
        <v>18682</v>
      </c>
      <c r="D119">
        <f>VLOOKUP(A119,UninsuredTable[],5,0)</f>
        <v>678</v>
      </c>
      <c r="E119" s="73">
        <v>678</v>
      </c>
      <c r="F119">
        <f>SUM(VLOOKUP(A119,BaseTable[[GEO.id2]:[MOE - 400% FPL and over - 65 years and over - No health insurance]],11,0),VLOOKUP(A119,BaseTable[[GEO.id2]:[MOE - 400% FPL and over - 65 years and over - No health insurance]],31,0),VLOOKUP(A119,BaseTable[[GEO.id2]:[MOE - 400% FPL and over - 65 years and over - No health insurance]],51,0))</f>
        <v>102</v>
      </c>
      <c r="G119">
        <f t="shared" si="6"/>
        <v>0.15044247787610621</v>
      </c>
      <c r="H119" s="73">
        <f t="shared" si="7"/>
        <v>102.00000000000001</v>
      </c>
      <c r="I119">
        <f>SUM(VLOOKUP(A119,BaseTable[[GEO.id2]:[MOE - 400% FPL and over - 65 years and over - No health insurance]],77,0),VLOOKUP(A119,BaseTable[[GEO.id2]:[MOE - 400% FPL and over - 65 years and over - No health insurance]],71,0))</f>
        <v>258</v>
      </c>
      <c r="J119">
        <f t="shared" si="8"/>
        <v>0.38053097345132741</v>
      </c>
      <c r="K119" s="73">
        <f t="shared" si="9"/>
        <v>258</v>
      </c>
      <c r="L119">
        <f>SUM(VLOOKUP(A119,BaseTable[[GEO.id2]:[MOE - 400% FPL and over - 65 years and over - No health insurance]],17,0),VLOOKUP(A119,BaseTable[[GEO.id2]:[MOE - 400% FPL and over - 65 years and over - No health insurance]],57,0),VLOOKUP(A119,BaseTable[[GEO.id2]:[MOE - 400% FPL and over - 65 years and over - No health insurance]],37,0))</f>
        <v>318</v>
      </c>
      <c r="M119">
        <f t="shared" si="10"/>
        <v>0.46902654867256638</v>
      </c>
      <c r="N119" s="73">
        <f t="shared" si="11"/>
        <v>318</v>
      </c>
    </row>
    <row r="120" spans="1:14" x14ac:dyDescent="0.3">
      <c r="A120">
        <v>21113</v>
      </c>
      <c r="B120" t="str">
        <f>VLOOKUP(A120,UninsuredTable[],3,0)</f>
        <v>Anne Arundel</v>
      </c>
      <c r="C120">
        <f>VLOOKUP(A120,UninsuredTable[],4,0)</f>
        <v>32277</v>
      </c>
      <c r="D120">
        <f>VLOOKUP(A120,UninsuredTable[],5,0)</f>
        <v>1557</v>
      </c>
      <c r="E120" s="73">
        <v>1010.4445514888616</v>
      </c>
      <c r="F120">
        <f>SUM(VLOOKUP(A120,BaseTable[[GEO.id2]:[MOE - 400% FPL and over - 65 years and over - No health insurance]],11,0),VLOOKUP(A120,BaseTable[[GEO.id2]:[MOE - 400% FPL and over - 65 years and over - No health insurance]],31,0),VLOOKUP(A120,BaseTable[[GEO.id2]:[MOE - 400% FPL and over - 65 years and over - No health insurance]],51,0))</f>
        <v>145</v>
      </c>
      <c r="G120">
        <f t="shared" si="6"/>
        <v>9.3127809890815677E-2</v>
      </c>
      <c r="H120" s="73">
        <f t="shared" si="7"/>
        <v>94.100488096265224</v>
      </c>
      <c r="I120">
        <f>SUM(VLOOKUP(A120,BaseTable[[GEO.id2]:[MOE - 400% FPL and over - 65 years and over - No health insurance]],77,0),VLOOKUP(A120,BaseTable[[GEO.id2]:[MOE - 400% FPL and over - 65 years and over - No health insurance]],71,0))</f>
        <v>492</v>
      </c>
      <c r="J120">
        <f t="shared" si="8"/>
        <v>0.31599229287090558</v>
      </c>
      <c r="K120" s="73">
        <f t="shared" si="9"/>
        <v>319.29269064387921</v>
      </c>
      <c r="L120">
        <f>SUM(VLOOKUP(A120,BaseTable[[GEO.id2]:[MOE - 400% FPL and over - 65 years and over - No health insurance]],17,0),VLOOKUP(A120,BaseTable[[GEO.id2]:[MOE - 400% FPL and over - 65 years and over - No health insurance]],57,0),VLOOKUP(A120,BaseTable[[GEO.id2]:[MOE - 400% FPL and over - 65 years and over - No health insurance]],37,0))</f>
        <v>920</v>
      </c>
      <c r="M120">
        <f t="shared" si="10"/>
        <v>0.59087989723827872</v>
      </c>
      <c r="N120" s="73">
        <f t="shared" si="11"/>
        <v>597.0513727487172</v>
      </c>
    </row>
    <row r="121" spans="1:14" x14ac:dyDescent="0.3">
      <c r="A121">
        <v>21114</v>
      </c>
      <c r="B121" t="str">
        <f>VLOOKUP(A121,UninsuredTable[],3,0)</f>
        <v>Anne Arundel</v>
      </c>
      <c r="C121">
        <f>VLOOKUP(A121,UninsuredTable[],4,0)</f>
        <v>26248</v>
      </c>
      <c r="D121">
        <f>VLOOKUP(A121,UninsuredTable[],5,0)</f>
        <v>755</v>
      </c>
      <c r="E121" s="73">
        <v>718</v>
      </c>
      <c r="F121">
        <f>SUM(VLOOKUP(A121,BaseTable[[GEO.id2]:[MOE - 400% FPL and over - 65 years and over - No health insurance]],11,0),VLOOKUP(A121,BaseTable[[GEO.id2]:[MOE - 400% FPL and over - 65 years and over - No health insurance]],31,0),VLOOKUP(A121,BaseTable[[GEO.id2]:[MOE - 400% FPL and over - 65 years and over - No health insurance]],51,0))</f>
        <v>38</v>
      </c>
      <c r="G121">
        <f t="shared" si="6"/>
        <v>5.0331125827814571E-2</v>
      </c>
      <c r="H121" s="73">
        <f t="shared" si="7"/>
        <v>36.137748344370863</v>
      </c>
      <c r="I121">
        <f>SUM(VLOOKUP(A121,BaseTable[[GEO.id2]:[MOE - 400% FPL and over - 65 years and over - No health insurance]],77,0),VLOOKUP(A121,BaseTable[[GEO.id2]:[MOE - 400% FPL and over - 65 years and over - No health insurance]],71,0))</f>
        <v>428</v>
      </c>
      <c r="J121">
        <f t="shared" si="8"/>
        <v>0.56688741721854308</v>
      </c>
      <c r="K121" s="73">
        <f t="shared" si="9"/>
        <v>407.02516556291391</v>
      </c>
      <c r="L121">
        <f>SUM(VLOOKUP(A121,BaseTable[[GEO.id2]:[MOE - 400% FPL and over - 65 years and over - No health insurance]],17,0),VLOOKUP(A121,BaseTable[[GEO.id2]:[MOE - 400% FPL and over - 65 years and over - No health insurance]],57,0),VLOOKUP(A121,BaseTable[[GEO.id2]:[MOE - 400% FPL and over - 65 years and over - No health insurance]],37,0))</f>
        <v>252</v>
      </c>
      <c r="M121">
        <f t="shared" si="10"/>
        <v>0.33377483443708611</v>
      </c>
      <c r="N121" s="73">
        <f t="shared" si="11"/>
        <v>239.65033112582782</v>
      </c>
    </row>
    <row r="122" spans="1:14" x14ac:dyDescent="0.3">
      <c r="A122">
        <v>21117</v>
      </c>
      <c r="B122" t="str">
        <f>VLOOKUP(A122,UninsuredTable[],3,0)</f>
        <v>Baltimore</v>
      </c>
      <c r="C122">
        <f>VLOOKUP(A122,UninsuredTable[],4,0)</f>
        <v>57707</v>
      </c>
      <c r="D122">
        <f>VLOOKUP(A122,UninsuredTable[],5,0)</f>
        <v>4644</v>
      </c>
      <c r="E122" s="73">
        <v>2327.1668406493368</v>
      </c>
      <c r="F122">
        <f>SUM(VLOOKUP(A122,BaseTable[[GEO.id2]:[MOE - 400% FPL and over - 65 years and over - No health insurance]],11,0),VLOOKUP(A122,BaseTable[[GEO.id2]:[MOE - 400% FPL and over - 65 years and over - No health insurance]],31,0),VLOOKUP(A122,BaseTable[[GEO.id2]:[MOE - 400% FPL and over - 65 years and over - No health insurance]],51,0))</f>
        <v>576</v>
      </c>
      <c r="G122">
        <f t="shared" si="6"/>
        <v>0.12403100775193798</v>
      </c>
      <c r="H122" s="73">
        <f t="shared" si="7"/>
        <v>288.64084845263091</v>
      </c>
      <c r="I122">
        <f>SUM(VLOOKUP(A122,BaseTable[[GEO.id2]:[MOE - 400% FPL and over - 65 years and over - No health insurance]],77,0),VLOOKUP(A122,BaseTable[[GEO.id2]:[MOE - 400% FPL and over - 65 years and over - No health insurance]],71,0))</f>
        <v>667</v>
      </c>
      <c r="J122">
        <f t="shared" si="8"/>
        <v>0.14362618432385874</v>
      </c>
      <c r="K122" s="73">
        <f t="shared" si="9"/>
        <v>334.24209360747363</v>
      </c>
      <c r="L122">
        <f>SUM(VLOOKUP(A122,BaseTable[[GEO.id2]:[MOE - 400% FPL and over - 65 years and over - No health insurance]],17,0),VLOOKUP(A122,BaseTable[[GEO.id2]:[MOE - 400% FPL and over - 65 years and over - No health insurance]],57,0),VLOOKUP(A122,BaseTable[[GEO.id2]:[MOE - 400% FPL and over - 65 years and over - No health insurance]],37,0))</f>
        <v>3236</v>
      </c>
      <c r="M122">
        <f t="shared" si="10"/>
        <v>0.69681309216192933</v>
      </c>
      <c r="N122" s="73">
        <f t="shared" si="11"/>
        <v>1621.6003222095721</v>
      </c>
    </row>
    <row r="123" spans="1:14" x14ac:dyDescent="0.3">
      <c r="A123">
        <v>21122</v>
      </c>
      <c r="B123" t="str">
        <f>VLOOKUP(A123,UninsuredTable[],3,0)</f>
        <v>Anne Arundel</v>
      </c>
      <c r="C123">
        <f>VLOOKUP(A123,UninsuredTable[],4,0)</f>
        <v>60637</v>
      </c>
      <c r="D123">
        <f>VLOOKUP(A123,UninsuredTable[],5,0)</f>
        <v>2789</v>
      </c>
      <c r="E123" s="73">
        <v>2159.9237662030678</v>
      </c>
      <c r="F123">
        <f>SUM(VLOOKUP(A123,BaseTable[[GEO.id2]:[MOE - 400% FPL and over - 65 years and over - No health insurance]],11,0),VLOOKUP(A123,BaseTable[[GEO.id2]:[MOE - 400% FPL and over - 65 years and over - No health insurance]],31,0),VLOOKUP(A123,BaseTable[[GEO.id2]:[MOE - 400% FPL and over - 65 years and over - No health insurance]],51,0))</f>
        <v>261</v>
      </c>
      <c r="G123">
        <f t="shared" si="6"/>
        <v>9.3581929006812475E-2</v>
      </c>
      <c r="H123" s="73">
        <f t="shared" si="7"/>
        <v>202.12983254894252</v>
      </c>
      <c r="I123">
        <f>SUM(VLOOKUP(A123,BaseTable[[GEO.id2]:[MOE - 400% FPL and over - 65 years and over - No health insurance]],77,0),VLOOKUP(A123,BaseTable[[GEO.id2]:[MOE - 400% FPL and over - 65 years and over - No health insurance]],71,0))</f>
        <v>1153</v>
      </c>
      <c r="J123">
        <f t="shared" si="8"/>
        <v>0.41340982430978845</v>
      </c>
      <c r="K123" s="73">
        <f t="shared" si="9"/>
        <v>892.93370470854688</v>
      </c>
      <c r="L123">
        <f>SUM(VLOOKUP(A123,BaseTable[[GEO.id2]:[MOE - 400% FPL and over - 65 years and over - No health insurance]],17,0),VLOOKUP(A123,BaseTable[[GEO.id2]:[MOE - 400% FPL and over - 65 years and over - No health insurance]],57,0),VLOOKUP(A123,BaseTable[[GEO.id2]:[MOE - 400% FPL and over - 65 years and over - No health insurance]],37,0))</f>
        <v>1375</v>
      </c>
      <c r="M123">
        <f t="shared" si="10"/>
        <v>0.49300824668339904</v>
      </c>
      <c r="N123" s="73">
        <f t="shared" si="11"/>
        <v>1064.8602289455785</v>
      </c>
    </row>
    <row r="124" spans="1:14" x14ac:dyDescent="0.3">
      <c r="A124">
        <v>21133</v>
      </c>
      <c r="B124" t="str">
        <f>VLOOKUP(A124,UninsuredTable[],3,0)</f>
        <v>Baltimore</v>
      </c>
      <c r="C124">
        <f>VLOOKUP(A124,UninsuredTable[],4,0)</f>
        <v>32592</v>
      </c>
      <c r="D124">
        <f>VLOOKUP(A124,UninsuredTable[],5,0)</f>
        <v>1586</v>
      </c>
      <c r="E124" s="73">
        <v>1120.3373739051549</v>
      </c>
      <c r="F124">
        <f>SUM(VLOOKUP(A124,BaseTable[[GEO.id2]:[MOE - 400% FPL and over - 65 years and over - No health insurance]],11,0),VLOOKUP(A124,BaseTable[[GEO.id2]:[MOE - 400% FPL and over - 65 years and over - No health insurance]],31,0),VLOOKUP(A124,BaseTable[[GEO.id2]:[MOE - 400% FPL and over - 65 years and over - No health insurance]],51,0))</f>
        <v>108</v>
      </c>
      <c r="G124">
        <f t="shared" si="6"/>
        <v>6.8095838587641871E-2</v>
      </c>
      <c r="H124" s="73">
        <f t="shared" si="7"/>
        <v>76.290312977148005</v>
      </c>
      <c r="I124">
        <f>SUM(VLOOKUP(A124,BaseTable[[GEO.id2]:[MOE - 400% FPL and over - 65 years and over - No health insurance]],77,0),VLOOKUP(A124,BaseTable[[GEO.id2]:[MOE - 400% FPL and over - 65 years and over - No health insurance]],71,0))</f>
        <v>407</v>
      </c>
      <c r="J124">
        <f t="shared" si="8"/>
        <v>0.25662042875157631</v>
      </c>
      <c r="K124" s="73">
        <f t="shared" si="9"/>
        <v>287.50145723795589</v>
      </c>
      <c r="L124">
        <f>SUM(VLOOKUP(A124,BaseTable[[GEO.id2]:[MOE - 400% FPL and over - 65 years and over - No health insurance]],17,0),VLOOKUP(A124,BaseTable[[GEO.id2]:[MOE - 400% FPL and over - 65 years and over - No health insurance]],57,0),VLOOKUP(A124,BaseTable[[GEO.id2]:[MOE - 400% FPL and over - 65 years and over - No health insurance]],37,0))</f>
        <v>1058</v>
      </c>
      <c r="M124">
        <f t="shared" si="10"/>
        <v>0.66708701134930648</v>
      </c>
      <c r="N124" s="73">
        <f t="shared" si="11"/>
        <v>747.36251046132031</v>
      </c>
    </row>
    <row r="125" spans="1:14" x14ac:dyDescent="0.3">
      <c r="A125">
        <v>21136</v>
      </c>
      <c r="B125" t="str">
        <f>VLOOKUP(A125,UninsuredTable[],3,0)</f>
        <v>Baltimore</v>
      </c>
      <c r="C125">
        <f>VLOOKUP(A125,UninsuredTable[],4,0)</f>
        <v>33314</v>
      </c>
      <c r="D125">
        <f>VLOOKUP(A125,UninsuredTable[],5,0)</f>
        <v>2780</v>
      </c>
      <c r="E125" s="73">
        <v>1641.7064390624103</v>
      </c>
      <c r="F125">
        <f>SUM(VLOOKUP(A125,BaseTable[[GEO.id2]:[MOE - 400% FPL and over - 65 years and over - No health insurance]],11,0),VLOOKUP(A125,BaseTable[[GEO.id2]:[MOE - 400% FPL and over - 65 years and over - No health insurance]],31,0),VLOOKUP(A125,BaseTable[[GEO.id2]:[MOE - 400% FPL and over - 65 years and over - No health insurance]],51,0))</f>
        <v>325</v>
      </c>
      <c r="G125">
        <f t="shared" si="6"/>
        <v>0.11690647482014388</v>
      </c>
      <c r="H125" s="73">
        <f t="shared" si="7"/>
        <v>191.92611248031773</v>
      </c>
      <c r="I125">
        <f>SUM(VLOOKUP(A125,BaseTable[[GEO.id2]:[MOE - 400% FPL and over - 65 years and over - No health insurance]],77,0),VLOOKUP(A125,BaseTable[[GEO.id2]:[MOE - 400% FPL and over - 65 years and over - No health insurance]],71,0))</f>
        <v>568</v>
      </c>
      <c r="J125">
        <f t="shared" si="8"/>
        <v>0.20431654676258992</v>
      </c>
      <c r="K125" s="73">
        <f t="shared" si="9"/>
        <v>335.42779042713994</v>
      </c>
      <c r="L125">
        <f>SUM(VLOOKUP(A125,BaseTable[[GEO.id2]:[MOE - 400% FPL and over - 65 years and over - No health insurance]],17,0),VLOOKUP(A125,BaseTable[[GEO.id2]:[MOE - 400% FPL and over - 65 years and over - No health insurance]],57,0),VLOOKUP(A125,BaseTable[[GEO.id2]:[MOE - 400% FPL and over - 65 years and over - No health insurance]],37,0))</f>
        <v>1874</v>
      </c>
      <c r="M125">
        <f t="shared" si="10"/>
        <v>0.67410071942446048</v>
      </c>
      <c r="N125" s="73">
        <f t="shared" si="11"/>
        <v>1106.67549165574</v>
      </c>
    </row>
    <row r="126" spans="1:14" x14ac:dyDescent="0.3">
      <c r="A126">
        <v>21144</v>
      </c>
      <c r="B126" t="str">
        <f>VLOOKUP(A126,UninsuredTable[],3,0)</f>
        <v>Anne Arundel</v>
      </c>
      <c r="C126">
        <f>VLOOKUP(A126,UninsuredTable[],4,0)</f>
        <v>34369</v>
      </c>
      <c r="D126">
        <f>VLOOKUP(A126,UninsuredTable[],5,0)</f>
        <v>2140</v>
      </c>
      <c r="E126" s="73">
        <v>1390.9763328201166</v>
      </c>
      <c r="F126">
        <f>SUM(VLOOKUP(A126,BaseTable[[GEO.id2]:[MOE - 400% FPL and over - 65 years and over - No health insurance]],11,0),VLOOKUP(A126,BaseTable[[GEO.id2]:[MOE - 400% FPL and over - 65 years and over - No health insurance]],31,0),VLOOKUP(A126,BaseTable[[GEO.id2]:[MOE - 400% FPL and over - 65 years and over - No health insurance]],51,0))</f>
        <v>348</v>
      </c>
      <c r="G126">
        <f t="shared" si="6"/>
        <v>0.16261682242990655</v>
      </c>
      <c r="H126" s="73">
        <f t="shared" si="7"/>
        <v>226.19615131841149</v>
      </c>
      <c r="I126">
        <f>SUM(VLOOKUP(A126,BaseTable[[GEO.id2]:[MOE - 400% FPL and over - 65 years and over - No health insurance]],77,0),VLOOKUP(A126,BaseTable[[GEO.id2]:[MOE - 400% FPL and over - 65 years and over - No health insurance]],71,0))</f>
        <v>651</v>
      </c>
      <c r="J126">
        <f t="shared" si="8"/>
        <v>0.3042056074766355</v>
      </c>
      <c r="K126" s="73">
        <f t="shared" si="9"/>
        <v>423.1428003111663</v>
      </c>
      <c r="L126">
        <f>SUM(VLOOKUP(A126,BaseTable[[GEO.id2]:[MOE - 400% FPL and over - 65 years and over - No health insurance]],17,0),VLOOKUP(A126,BaseTable[[GEO.id2]:[MOE - 400% FPL and over - 65 years and over - No health insurance]],57,0),VLOOKUP(A126,BaseTable[[GEO.id2]:[MOE - 400% FPL and over - 65 years and over - No health insurance]],37,0))</f>
        <v>1141</v>
      </c>
      <c r="M126">
        <f t="shared" si="10"/>
        <v>0.5331775700934579</v>
      </c>
      <c r="N126" s="73">
        <f t="shared" si="11"/>
        <v>741.63738119053869</v>
      </c>
    </row>
    <row r="127" spans="1:14" x14ac:dyDescent="0.3">
      <c r="A127">
        <v>21146</v>
      </c>
      <c r="B127" t="str">
        <f>VLOOKUP(A127,UninsuredTable[],3,0)</f>
        <v>Anne Arundel</v>
      </c>
      <c r="C127">
        <f>VLOOKUP(A127,UninsuredTable[],4,0)</f>
        <v>27466</v>
      </c>
      <c r="D127">
        <f>VLOOKUP(A127,UninsuredTable[],5,0)</f>
        <v>477</v>
      </c>
      <c r="E127" s="73">
        <v>477</v>
      </c>
      <c r="F127">
        <f>SUM(VLOOKUP(A127,BaseTable[[GEO.id2]:[MOE - 400% FPL and over - 65 years and over - No health insurance]],11,0),VLOOKUP(A127,BaseTable[[GEO.id2]:[MOE - 400% FPL and over - 65 years and over - No health insurance]],31,0),VLOOKUP(A127,BaseTable[[GEO.id2]:[MOE - 400% FPL and over - 65 years and over - No health insurance]],51,0))</f>
        <v>0</v>
      </c>
      <c r="G127">
        <f t="shared" si="6"/>
        <v>0</v>
      </c>
      <c r="H127" s="73">
        <f t="shared" si="7"/>
        <v>0</v>
      </c>
      <c r="I127">
        <f>SUM(VLOOKUP(A127,BaseTable[[GEO.id2]:[MOE - 400% FPL and over - 65 years and over - No health insurance]],77,0),VLOOKUP(A127,BaseTable[[GEO.id2]:[MOE - 400% FPL and over - 65 years and over - No health insurance]],71,0))</f>
        <v>286</v>
      </c>
      <c r="J127">
        <f t="shared" si="8"/>
        <v>0.59958071278825997</v>
      </c>
      <c r="K127" s="73">
        <f t="shared" si="9"/>
        <v>286</v>
      </c>
      <c r="L127">
        <f>SUM(VLOOKUP(A127,BaseTable[[GEO.id2]:[MOE - 400% FPL and over - 65 years and over - No health insurance]],17,0),VLOOKUP(A127,BaseTable[[GEO.id2]:[MOE - 400% FPL and over - 65 years and over - No health insurance]],57,0),VLOOKUP(A127,BaseTable[[GEO.id2]:[MOE - 400% FPL and over - 65 years and over - No health insurance]],37,0))</f>
        <v>191</v>
      </c>
      <c r="M127">
        <f t="shared" si="10"/>
        <v>0.40041928721174003</v>
      </c>
      <c r="N127" s="73">
        <f t="shared" si="11"/>
        <v>191</v>
      </c>
    </row>
    <row r="128" spans="1:14" x14ac:dyDescent="0.3">
      <c r="A128">
        <v>21152</v>
      </c>
      <c r="B128" t="str">
        <f>VLOOKUP(A128,UninsuredTable[],3,0)</f>
        <v>Baltimore</v>
      </c>
      <c r="C128">
        <f>VLOOKUP(A128,UninsuredTable[],4,0)</f>
        <v>5854</v>
      </c>
      <c r="D128">
        <f>VLOOKUP(A128,UninsuredTable[],5,0)</f>
        <v>326</v>
      </c>
      <c r="E128" s="73">
        <v>326</v>
      </c>
      <c r="F128">
        <f>SUM(VLOOKUP(A128,BaseTable[[GEO.id2]:[MOE - 400% FPL and over - 65 years and over - No health insurance]],11,0),VLOOKUP(A128,BaseTable[[GEO.id2]:[MOE - 400% FPL and over - 65 years and over - No health insurance]],31,0),VLOOKUP(A128,BaseTable[[GEO.id2]:[MOE - 400% FPL and over - 65 years and over - No health insurance]],51,0))</f>
        <v>0</v>
      </c>
      <c r="G128">
        <f t="shared" si="6"/>
        <v>0</v>
      </c>
      <c r="H128" s="73">
        <f t="shared" si="7"/>
        <v>0</v>
      </c>
      <c r="I128">
        <f>SUM(VLOOKUP(A128,BaseTable[[GEO.id2]:[MOE - 400% FPL and over - 65 years and over - No health insurance]],77,0),VLOOKUP(A128,BaseTable[[GEO.id2]:[MOE - 400% FPL and over - 65 years and over - No health insurance]],71,0))</f>
        <v>178</v>
      </c>
      <c r="J128">
        <f t="shared" si="8"/>
        <v>0.54601226993865026</v>
      </c>
      <c r="K128" s="73">
        <f t="shared" si="9"/>
        <v>178</v>
      </c>
      <c r="L128">
        <f>SUM(VLOOKUP(A128,BaseTable[[GEO.id2]:[MOE - 400% FPL and over - 65 years and over - No health insurance]],17,0),VLOOKUP(A128,BaseTable[[GEO.id2]:[MOE - 400% FPL and over - 65 years and over - No health insurance]],57,0),VLOOKUP(A128,BaseTable[[GEO.id2]:[MOE - 400% FPL and over - 65 years and over - No health insurance]],37,0))</f>
        <v>148</v>
      </c>
      <c r="M128">
        <f t="shared" si="10"/>
        <v>0.45398773006134968</v>
      </c>
      <c r="N128" s="73">
        <f t="shared" si="11"/>
        <v>148</v>
      </c>
    </row>
    <row r="129" spans="1:14" x14ac:dyDescent="0.3">
      <c r="A129">
        <v>21154</v>
      </c>
      <c r="B129" t="str">
        <f>VLOOKUP(A129,UninsuredTable[],3,0)</f>
        <v>Harford</v>
      </c>
      <c r="C129">
        <f>VLOOKUP(A129,UninsuredTable[],4,0)</f>
        <v>6007</v>
      </c>
      <c r="D129">
        <f>VLOOKUP(A129,UninsuredTable[],5,0)</f>
        <v>250</v>
      </c>
      <c r="E129" s="73">
        <v>250</v>
      </c>
      <c r="F129">
        <f>SUM(VLOOKUP(A129,BaseTable[[GEO.id2]:[MOE - 400% FPL and over - 65 years and over - No health insurance]],11,0),VLOOKUP(A129,BaseTable[[GEO.id2]:[MOE - 400% FPL and over - 65 years and over - No health insurance]],31,0),VLOOKUP(A129,BaseTable[[GEO.id2]:[MOE - 400% FPL and over - 65 years and over - No health insurance]],51,0))</f>
        <v>20</v>
      </c>
      <c r="G129">
        <f t="shared" si="6"/>
        <v>0.08</v>
      </c>
      <c r="H129" s="73">
        <f t="shared" si="7"/>
        <v>20</v>
      </c>
      <c r="I129">
        <f>SUM(VLOOKUP(A129,BaseTable[[GEO.id2]:[MOE - 400% FPL and over - 65 years and over - No health insurance]],77,0),VLOOKUP(A129,BaseTable[[GEO.id2]:[MOE - 400% FPL and over - 65 years and over - No health insurance]],71,0))</f>
        <v>97</v>
      </c>
      <c r="J129">
        <f t="shared" si="8"/>
        <v>0.38800000000000001</v>
      </c>
      <c r="K129" s="73">
        <f t="shared" si="9"/>
        <v>97</v>
      </c>
      <c r="L129">
        <f>SUM(VLOOKUP(A129,BaseTable[[GEO.id2]:[MOE - 400% FPL and over - 65 years and over - No health insurance]],17,0),VLOOKUP(A129,BaseTable[[GEO.id2]:[MOE - 400% FPL and over - 65 years and over - No health insurance]],57,0),VLOOKUP(A129,BaseTable[[GEO.id2]:[MOE - 400% FPL and over - 65 years and over - No health insurance]],37,0))</f>
        <v>133</v>
      </c>
      <c r="M129">
        <f t="shared" si="10"/>
        <v>0.53200000000000003</v>
      </c>
      <c r="N129" s="73">
        <f t="shared" si="11"/>
        <v>133</v>
      </c>
    </row>
    <row r="130" spans="1:14" x14ac:dyDescent="0.3">
      <c r="A130">
        <v>21157</v>
      </c>
      <c r="B130" t="str">
        <f>VLOOKUP(A130,UninsuredTable[],3,0)</f>
        <v>Carroll</v>
      </c>
      <c r="C130">
        <f>VLOOKUP(A130,UninsuredTable[],4,0)</f>
        <v>35361</v>
      </c>
      <c r="D130">
        <f>VLOOKUP(A130,UninsuredTable[],5,0)</f>
        <v>1541</v>
      </c>
      <c r="E130" s="73">
        <v>1086.9047550294197</v>
      </c>
      <c r="F130">
        <f>SUM(VLOOKUP(A130,BaseTable[[GEO.id2]:[MOE - 400% FPL and over - 65 years and over - No health insurance]],11,0),VLOOKUP(A130,BaseTable[[GEO.id2]:[MOE - 400% FPL and over - 65 years and over - No health insurance]],31,0),VLOOKUP(A130,BaseTable[[GEO.id2]:[MOE - 400% FPL and over - 65 years and over - No health insurance]],51,0))</f>
        <v>270</v>
      </c>
      <c r="G130">
        <f t="shared" si="6"/>
        <v>0.17521090201168071</v>
      </c>
      <c r="H130" s="73">
        <f t="shared" si="7"/>
        <v>190.43756252948947</v>
      </c>
      <c r="I130">
        <f>SUM(VLOOKUP(A130,BaseTable[[GEO.id2]:[MOE - 400% FPL and over - 65 years and over - No health insurance]],77,0),VLOOKUP(A130,BaseTable[[GEO.id2]:[MOE - 400% FPL and over - 65 years and over - No health insurance]],71,0))</f>
        <v>265</v>
      </c>
      <c r="J130">
        <f t="shared" si="8"/>
        <v>0.17196625567813109</v>
      </c>
      <c r="K130" s="73">
        <f t="shared" si="9"/>
        <v>186.91094100116561</v>
      </c>
      <c r="L130">
        <f>SUM(VLOOKUP(A130,BaseTable[[GEO.id2]:[MOE - 400% FPL and over - 65 years and over - No health insurance]],17,0),VLOOKUP(A130,BaseTable[[GEO.id2]:[MOE - 400% FPL and over - 65 years and over - No health insurance]],57,0),VLOOKUP(A130,BaseTable[[GEO.id2]:[MOE - 400% FPL and over - 65 years and over - No health insurance]],37,0))</f>
        <v>992</v>
      </c>
      <c r="M130">
        <f t="shared" si="10"/>
        <v>0.64373783257624917</v>
      </c>
      <c r="N130" s="73">
        <f t="shared" si="11"/>
        <v>699.68171121945772</v>
      </c>
    </row>
    <row r="131" spans="1:14" x14ac:dyDescent="0.3">
      <c r="A131">
        <v>21158</v>
      </c>
      <c r="B131" t="str">
        <f>VLOOKUP(A131,UninsuredTable[],3,0)</f>
        <v>Carroll</v>
      </c>
      <c r="C131">
        <f>VLOOKUP(A131,UninsuredTable[],4,0)</f>
        <v>20407</v>
      </c>
      <c r="D131">
        <f>VLOOKUP(A131,UninsuredTable[],5,0)</f>
        <v>754</v>
      </c>
      <c r="E131" s="73">
        <v>754</v>
      </c>
      <c r="F131">
        <f>SUM(VLOOKUP(A131,BaseTable[[GEO.id2]:[MOE - 400% FPL and over - 65 years and over - No health insurance]],11,0),VLOOKUP(A131,BaseTable[[GEO.id2]:[MOE - 400% FPL and over - 65 years and over - No health insurance]],31,0),VLOOKUP(A131,BaseTable[[GEO.id2]:[MOE - 400% FPL and over - 65 years and over - No health insurance]],51,0))</f>
        <v>60</v>
      </c>
      <c r="G131">
        <f t="shared" ref="G131:G194" si="12">F131/D131</f>
        <v>7.9575596816976124E-2</v>
      </c>
      <c r="H131" s="73">
        <f t="shared" ref="H131:H194" si="13">E131*G131</f>
        <v>60</v>
      </c>
      <c r="I131">
        <f>SUM(VLOOKUP(A131,BaseTable[[GEO.id2]:[MOE - 400% FPL and over - 65 years and over - No health insurance]],77,0),VLOOKUP(A131,BaseTable[[GEO.id2]:[MOE - 400% FPL and over - 65 years and over - No health insurance]],71,0))</f>
        <v>220</v>
      </c>
      <c r="J131">
        <f t="shared" ref="J131:J194" si="14">I131/D131</f>
        <v>0.29177718832891247</v>
      </c>
      <c r="K131" s="73">
        <f t="shared" ref="K131:K194" si="15">E131*J131</f>
        <v>220</v>
      </c>
      <c r="L131">
        <f>SUM(VLOOKUP(A131,BaseTable[[GEO.id2]:[MOE - 400% FPL and over - 65 years and over - No health insurance]],17,0),VLOOKUP(A131,BaseTable[[GEO.id2]:[MOE - 400% FPL and over - 65 years and over - No health insurance]],57,0),VLOOKUP(A131,BaseTable[[GEO.id2]:[MOE - 400% FPL and over - 65 years and over - No health insurance]],37,0))</f>
        <v>474</v>
      </c>
      <c r="M131">
        <f t="shared" ref="M131:M194" si="16">L131/D131</f>
        <v>0.62864721485411146</v>
      </c>
      <c r="N131" s="73">
        <f t="shared" ref="N131:N194" si="17">E131*M131</f>
        <v>474.00000000000006</v>
      </c>
    </row>
    <row r="132" spans="1:14" x14ac:dyDescent="0.3">
      <c r="A132">
        <v>21163</v>
      </c>
      <c r="B132" t="str">
        <f>VLOOKUP(A132,UninsuredTable[],3,0)</f>
        <v>Howard</v>
      </c>
      <c r="C132">
        <f>VLOOKUP(A132,UninsuredTable[],4,0)</f>
        <v>7137</v>
      </c>
      <c r="D132">
        <f>VLOOKUP(A132,UninsuredTable[],5,0)</f>
        <v>458</v>
      </c>
      <c r="E132" s="73">
        <v>458</v>
      </c>
      <c r="F132">
        <f>SUM(VLOOKUP(A132,BaseTable[[GEO.id2]:[MOE - 400% FPL and over - 65 years and over - No health insurance]],11,0),VLOOKUP(A132,BaseTable[[GEO.id2]:[MOE - 400% FPL and over - 65 years and over - No health insurance]],31,0),VLOOKUP(A132,BaseTable[[GEO.id2]:[MOE - 400% FPL and over - 65 years and over - No health insurance]],51,0))</f>
        <v>56</v>
      </c>
      <c r="G132">
        <f t="shared" si="12"/>
        <v>0.1222707423580786</v>
      </c>
      <c r="H132" s="73">
        <f t="shared" si="13"/>
        <v>56</v>
      </c>
      <c r="I132">
        <f>SUM(VLOOKUP(A132,BaseTable[[GEO.id2]:[MOE - 400% FPL and over - 65 years and over - No health insurance]],77,0),VLOOKUP(A132,BaseTable[[GEO.id2]:[MOE - 400% FPL and over - 65 years and over - No health insurance]],71,0))</f>
        <v>58</v>
      </c>
      <c r="J132">
        <f t="shared" si="14"/>
        <v>0.12663755458515283</v>
      </c>
      <c r="K132" s="73">
        <f t="shared" si="15"/>
        <v>57.999999999999993</v>
      </c>
      <c r="L132">
        <f>SUM(VLOOKUP(A132,BaseTable[[GEO.id2]:[MOE - 400% FPL and over - 65 years and over - No health insurance]],17,0),VLOOKUP(A132,BaseTable[[GEO.id2]:[MOE - 400% FPL and over - 65 years and over - No health insurance]],57,0),VLOOKUP(A132,BaseTable[[GEO.id2]:[MOE - 400% FPL and over - 65 years and over - No health insurance]],37,0))</f>
        <v>344</v>
      </c>
      <c r="M132">
        <f t="shared" si="16"/>
        <v>0.75109170305676853</v>
      </c>
      <c r="N132" s="73">
        <f t="shared" si="17"/>
        <v>344</v>
      </c>
    </row>
    <row r="133" spans="1:14" x14ac:dyDescent="0.3">
      <c r="A133">
        <v>21201</v>
      </c>
      <c r="B133" t="str">
        <f>VLOOKUP(A133,UninsuredTable[],3,0)</f>
        <v>Baltimore City</v>
      </c>
      <c r="C133">
        <f>VLOOKUP(A133,UninsuredTable[],4,0)</f>
        <v>15947</v>
      </c>
      <c r="D133">
        <f>VLOOKUP(A133,UninsuredTable[],5,0)</f>
        <v>923</v>
      </c>
      <c r="E133" s="73">
        <v>923</v>
      </c>
      <c r="F133">
        <f>SUM(VLOOKUP(A133,BaseTable[[GEO.id2]:[MOE - 400% FPL and over - 65 years and over - No health insurance]],11,0),VLOOKUP(A133,BaseTable[[GEO.id2]:[MOE - 400% FPL and over - 65 years and over - No health insurance]],31,0),VLOOKUP(A133,BaseTable[[GEO.id2]:[MOE - 400% FPL and over - 65 years and over - No health insurance]],51,0))</f>
        <v>10</v>
      </c>
      <c r="G133">
        <f t="shared" si="12"/>
        <v>1.0834236186348862E-2</v>
      </c>
      <c r="H133" s="73">
        <f t="shared" si="13"/>
        <v>10</v>
      </c>
      <c r="I133">
        <f>SUM(VLOOKUP(A133,BaseTable[[GEO.id2]:[MOE - 400% FPL and over - 65 years and over - No health insurance]],77,0),VLOOKUP(A133,BaseTable[[GEO.id2]:[MOE - 400% FPL and over - 65 years and over - No health insurance]],71,0))</f>
        <v>261</v>
      </c>
      <c r="J133">
        <f t="shared" si="14"/>
        <v>0.28277356446370533</v>
      </c>
      <c r="K133" s="73">
        <f t="shared" si="15"/>
        <v>261</v>
      </c>
      <c r="L133">
        <f>SUM(VLOOKUP(A133,BaseTable[[GEO.id2]:[MOE - 400% FPL and over - 65 years and over - No health insurance]],17,0),VLOOKUP(A133,BaseTable[[GEO.id2]:[MOE - 400% FPL and over - 65 years and over - No health insurance]],57,0),VLOOKUP(A133,BaseTable[[GEO.id2]:[MOE - 400% FPL and over - 65 years and over - No health insurance]],37,0))</f>
        <v>652</v>
      </c>
      <c r="M133">
        <f t="shared" si="16"/>
        <v>0.70639219934994579</v>
      </c>
      <c r="N133" s="73">
        <f t="shared" si="17"/>
        <v>652</v>
      </c>
    </row>
    <row r="134" spans="1:14" x14ac:dyDescent="0.3">
      <c r="A134">
        <v>21202</v>
      </c>
      <c r="B134" t="str">
        <f>VLOOKUP(A134,UninsuredTable[],3,0)</f>
        <v>Baltimore City</v>
      </c>
      <c r="C134">
        <f>VLOOKUP(A134,UninsuredTable[],4,0)</f>
        <v>16754</v>
      </c>
      <c r="D134">
        <f>VLOOKUP(A134,UninsuredTable[],5,0)</f>
        <v>1099</v>
      </c>
      <c r="E134" s="73">
        <v>789.76253601569044</v>
      </c>
      <c r="F134">
        <f>SUM(VLOOKUP(A134,BaseTable[[GEO.id2]:[MOE - 400% FPL and over - 65 years and over - No health insurance]],11,0),VLOOKUP(A134,BaseTable[[GEO.id2]:[MOE - 400% FPL and over - 65 years and over - No health insurance]],31,0),VLOOKUP(A134,BaseTable[[GEO.id2]:[MOE - 400% FPL and over - 65 years and over - No health insurance]],51,0))</f>
        <v>30</v>
      </c>
      <c r="G134">
        <f t="shared" si="12"/>
        <v>2.7297543221110099E-2</v>
      </c>
      <c r="H134" s="73">
        <f t="shared" si="13"/>
        <v>21.558576961301831</v>
      </c>
      <c r="I134">
        <f>SUM(VLOOKUP(A134,BaseTable[[GEO.id2]:[MOE - 400% FPL and over - 65 years and over - No health insurance]],77,0),VLOOKUP(A134,BaseTable[[GEO.id2]:[MOE - 400% FPL and over - 65 years and over - No health insurance]],71,0))</f>
        <v>60</v>
      </c>
      <c r="J134">
        <f t="shared" si="14"/>
        <v>5.4595086442220199E-2</v>
      </c>
      <c r="K134" s="73">
        <f t="shared" si="15"/>
        <v>43.117153922603663</v>
      </c>
      <c r="L134">
        <f>SUM(VLOOKUP(A134,BaseTable[[GEO.id2]:[MOE - 400% FPL and over - 65 years and over - No health insurance]],17,0),VLOOKUP(A134,BaseTable[[GEO.id2]:[MOE - 400% FPL and over - 65 years and over - No health insurance]],57,0),VLOOKUP(A134,BaseTable[[GEO.id2]:[MOE - 400% FPL and over - 65 years and over - No health insurance]],37,0))</f>
        <v>987</v>
      </c>
      <c r="M134">
        <f t="shared" si="16"/>
        <v>0.89808917197452232</v>
      </c>
      <c r="N134" s="73">
        <f t="shared" si="17"/>
        <v>709.27718202683025</v>
      </c>
    </row>
    <row r="135" spans="1:14" x14ac:dyDescent="0.3">
      <c r="A135">
        <v>21204</v>
      </c>
      <c r="B135" t="str">
        <f>VLOOKUP(A135,UninsuredTable[],3,0)</f>
        <v>Baltimore</v>
      </c>
      <c r="C135">
        <f>VLOOKUP(A135,UninsuredTable[],4,0)</f>
        <v>17626</v>
      </c>
      <c r="D135">
        <f>VLOOKUP(A135,UninsuredTable[],5,0)</f>
        <v>723</v>
      </c>
      <c r="E135" s="73">
        <v>716</v>
      </c>
      <c r="F135">
        <f>SUM(VLOOKUP(A135,BaseTable[[GEO.id2]:[MOE - 400% FPL and over - 65 years and over - No health insurance]],11,0),VLOOKUP(A135,BaseTable[[GEO.id2]:[MOE - 400% FPL and over - 65 years and over - No health insurance]],31,0),VLOOKUP(A135,BaseTable[[GEO.id2]:[MOE - 400% FPL and over - 65 years and over - No health insurance]],51,0))</f>
        <v>74</v>
      </c>
      <c r="G135">
        <f t="shared" si="12"/>
        <v>0.10235131396957123</v>
      </c>
      <c r="H135" s="73">
        <f t="shared" si="13"/>
        <v>73.283540802212997</v>
      </c>
      <c r="I135">
        <f>SUM(VLOOKUP(A135,BaseTable[[GEO.id2]:[MOE - 400% FPL and over - 65 years and over - No health insurance]],77,0),VLOOKUP(A135,BaseTable[[GEO.id2]:[MOE - 400% FPL and over - 65 years and over - No health insurance]],71,0))</f>
        <v>250</v>
      </c>
      <c r="J135">
        <f t="shared" si="14"/>
        <v>0.34578146611341631</v>
      </c>
      <c r="K135" s="73">
        <f t="shared" si="15"/>
        <v>247.57952973720609</v>
      </c>
      <c r="L135">
        <f>SUM(VLOOKUP(A135,BaseTable[[GEO.id2]:[MOE - 400% FPL and over - 65 years and over - No health insurance]],17,0),VLOOKUP(A135,BaseTable[[GEO.id2]:[MOE - 400% FPL and over - 65 years and over - No health insurance]],57,0),VLOOKUP(A135,BaseTable[[GEO.id2]:[MOE - 400% FPL and over - 65 years and over - No health insurance]],37,0))</f>
        <v>392</v>
      </c>
      <c r="M135">
        <f t="shared" si="16"/>
        <v>0.54218533886583675</v>
      </c>
      <c r="N135" s="73">
        <f t="shared" si="17"/>
        <v>388.20470262793913</v>
      </c>
    </row>
    <row r="136" spans="1:14" x14ac:dyDescent="0.3">
      <c r="A136">
        <v>21205</v>
      </c>
      <c r="B136" t="str">
        <f>VLOOKUP(A136,UninsuredTable[],3,0)</f>
        <v>Baltimore City</v>
      </c>
      <c r="C136">
        <f>VLOOKUP(A136,UninsuredTable[],4,0)</f>
        <v>14602</v>
      </c>
      <c r="D136">
        <f>VLOOKUP(A136,UninsuredTable[],5,0)</f>
        <v>1694</v>
      </c>
      <c r="E136" s="73">
        <v>1151.473441981997</v>
      </c>
      <c r="F136">
        <f>SUM(VLOOKUP(A136,BaseTable[[GEO.id2]:[MOE - 400% FPL and over - 65 years and over - No health insurance]],11,0),VLOOKUP(A136,BaseTable[[GEO.id2]:[MOE - 400% FPL and over - 65 years and over - No health insurance]],31,0),VLOOKUP(A136,BaseTable[[GEO.id2]:[MOE - 400% FPL and over - 65 years and over - No health insurance]],51,0))</f>
        <v>295</v>
      </c>
      <c r="G136">
        <f t="shared" si="12"/>
        <v>0.17414403778040141</v>
      </c>
      <c r="H136" s="73">
        <f t="shared" si="13"/>
        <v>200.52223458364173</v>
      </c>
      <c r="I136">
        <f>SUM(VLOOKUP(A136,BaseTable[[GEO.id2]:[MOE - 400% FPL and over - 65 years and over - No health insurance]],77,0),VLOOKUP(A136,BaseTable[[GEO.id2]:[MOE - 400% FPL and over - 65 years and over - No health insurance]],71,0))</f>
        <v>268</v>
      </c>
      <c r="J136">
        <f t="shared" si="14"/>
        <v>0.15820543093270367</v>
      </c>
      <c r="K136" s="73">
        <f t="shared" si="15"/>
        <v>182.16935209632538</v>
      </c>
      <c r="L136">
        <f>SUM(VLOOKUP(A136,BaseTable[[GEO.id2]:[MOE - 400% FPL and over - 65 years and over - No health insurance]],17,0),VLOOKUP(A136,BaseTable[[GEO.id2]:[MOE - 400% FPL and over - 65 years and over - No health insurance]],57,0),VLOOKUP(A136,BaseTable[[GEO.id2]:[MOE - 400% FPL and over - 65 years and over - No health insurance]],37,0))</f>
        <v>1131</v>
      </c>
      <c r="M136">
        <f t="shared" si="16"/>
        <v>0.66765053128689489</v>
      </c>
      <c r="N136" s="73">
        <f t="shared" si="17"/>
        <v>768.78185530202984</v>
      </c>
    </row>
    <row r="137" spans="1:14" x14ac:dyDescent="0.3">
      <c r="A137">
        <v>21206</v>
      </c>
      <c r="B137" t="str">
        <f>VLOOKUP(A137,UninsuredTable[],3,0)</f>
        <v>Baltimore City</v>
      </c>
      <c r="C137">
        <f>VLOOKUP(A137,UninsuredTable[],4,0)</f>
        <v>50527</v>
      </c>
      <c r="D137">
        <f>VLOOKUP(A137,UninsuredTable[],5,0)</f>
        <v>3303</v>
      </c>
      <c r="E137" s="73">
        <v>2224.406529141565</v>
      </c>
      <c r="F137">
        <f>SUM(VLOOKUP(A137,BaseTable[[GEO.id2]:[MOE - 400% FPL and over - 65 years and over - No health insurance]],11,0),VLOOKUP(A137,BaseTable[[GEO.id2]:[MOE - 400% FPL and over - 65 years and over - No health insurance]],31,0),VLOOKUP(A137,BaseTable[[GEO.id2]:[MOE - 400% FPL and over - 65 years and over - No health insurance]],51,0))</f>
        <v>259</v>
      </c>
      <c r="G137">
        <f t="shared" si="12"/>
        <v>7.8413563427187402E-2</v>
      </c>
      <c r="H137" s="73">
        <f t="shared" si="13"/>
        <v>174.42364246069189</v>
      </c>
      <c r="I137">
        <f>SUM(VLOOKUP(A137,BaseTable[[GEO.id2]:[MOE - 400% FPL and over - 65 years and over - No health insurance]],77,0),VLOOKUP(A137,BaseTable[[GEO.id2]:[MOE - 400% FPL and over - 65 years and over - No health insurance]],71,0))</f>
        <v>822</v>
      </c>
      <c r="J137">
        <f t="shared" si="14"/>
        <v>0.2488646684831971</v>
      </c>
      <c r="K137" s="73">
        <f t="shared" si="15"/>
        <v>553.57619344667467</v>
      </c>
      <c r="L137">
        <f>SUM(VLOOKUP(A137,BaseTable[[GEO.id2]:[MOE - 400% FPL and over - 65 years and over - No health insurance]],17,0),VLOOKUP(A137,BaseTable[[GEO.id2]:[MOE - 400% FPL and over - 65 years and over - No health insurance]],57,0),VLOOKUP(A137,BaseTable[[GEO.id2]:[MOE - 400% FPL and over - 65 years and over - No health insurance]],37,0))</f>
        <v>2152</v>
      </c>
      <c r="M137">
        <f t="shared" si="16"/>
        <v>0.65152891310929462</v>
      </c>
      <c r="N137" s="73">
        <f t="shared" si="17"/>
        <v>1449.2651682448222</v>
      </c>
    </row>
    <row r="138" spans="1:14" x14ac:dyDescent="0.3">
      <c r="A138">
        <v>21207</v>
      </c>
      <c r="B138" t="str">
        <f>VLOOKUP(A138,UninsuredTable[],3,0)</f>
        <v>Baltimore</v>
      </c>
      <c r="C138">
        <f>VLOOKUP(A138,UninsuredTable[],4,0)</f>
        <v>47833</v>
      </c>
      <c r="D138">
        <f>VLOOKUP(A138,UninsuredTable[],5,0)</f>
        <v>3578</v>
      </c>
      <c r="E138" s="73">
        <v>2384.0300161631394</v>
      </c>
      <c r="F138">
        <f>SUM(VLOOKUP(A138,BaseTable[[GEO.id2]:[MOE - 400% FPL and over - 65 years and over - No health insurance]],11,0),VLOOKUP(A138,BaseTable[[GEO.id2]:[MOE - 400% FPL and over - 65 years and over - No health insurance]],31,0),VLOOKUP(A138,BaseTable[[GEO.id2]:[MOE - 400% FPL and over - 65 years and over - No health insurance]],51,0))</f>
        <v>377</v>
      </c>
      <c r="G138">
        <f t="shared" si="12"/>
        <v>0.10536612632755729</v>
      </c>
      <c r="H138" s="73">
        <f t="shared" si="13"/>
        <v>251.19600785173381</v>
      </c>
      <c r="I138">
        <f>SUM(VLOOKUP(A138,BaseTable[[GEO.id2]:[MOE - 400% FPL and over - 65 years and over - No health insurance]],77,0),VLOOKUP(A138,BaseTable[[GEO.id2]:[MOE - 400% FPL and over - 65 years and over - No health insurance]],71,0))</f>
        <v>495</v>
      </c>
      <c r="J138">
        <f t="shared" si="14"/>
        <v>0.13834544438233651</v>
      </c>
      <c r="K138" s="73">
        <f t="shared" si="15"/>
        <v>329.81969200691839</v>
      </c>
      <c r="L138">
        <f>SUM(VLOOKUP(A138,BaseTable[[GEO.id2]:[MOE - 400% FPL and over - 65 years and over - No health insurance]],17,0),VLOOKUP(A138,BaseTable[[GEO.id2]:[MOE - 400% FPL and over - 65 years and over - No health insurance]],57,0),VLOOKUP(A138,BaseTable[[GEO.id2]:[MOE - 400% FPL and over - 65 years and over - No health insurance]],37,0))</f>
        <v>2684</v>
      </c>
      <c r="M138">
        <f t="shared" si="16"/>
        <v>0.75013974287311347</v>
      </c>
      <c r="N138" s="73">
        <f t="shared" si="17"/>
        <v>1788.355663326402</v>
      </c>
    </row>
    <row r="139" spans="1:14" x14ac:dyDescent="0.3">
      <c r="A139">
        <v>21208</v>
      </c>
      <c r="B139" t="str">
        <f>VLOOKUP(A139,UninsuredTable[],3,0)</f>
        <v>Baltimore</v>
      </c>
      <c r="C139">
        <f>VLOOKUP(A139,UninsuredTable[],4,0)</f>
        <v>36045</v>
      </c>
      <c r="D139">
        <f>VLOOKUP(A139,UninsuredTable[],5,0)</f>
        <v>1728</v>
      </c>
      <c r="E139" s="73">
        <v>1082.9910572481776</v>
      </c>
      <c r="F139">
        <f>SUM(VLOOKUP(A139,BaseTable[[GEO.id2]:[MOE - 400% FPL and over - 65 years and over - No health insurance]],11,0),VLOOKUP(A139,BaseTable[[GEO.id2]:[MOE - 400% FPL and over - 65 years and over - No health insurance]],31,0),VLOOKUP(A139,BaseTable[[GEO.id2]:[MOE - 400% FPL and over - 65 years and over - No health insurance]],51,0))</f>
        <v>325</v>
      </c>
      <c r="G139">
        <f t="shared" si="12"/>
        <v>0.18807870370370369</v>
      </c>
      <c r="H139" s="73">
        <f t="shared" si="13"/>
        <v>203.6875541699408</v>
      </c>
      <c r="I139">
        <f>SUM(VLOOKUP(A139,BaseTable[[GEO.id2]:[MOE - 400% FPL and over - 65 years and over - No health insurance]],77,0),VLOOKUP(A139,BaseTable[[GEO.id2]:[MOE - 400% FPL and over - 65 years and over - No health insurance]],71,0))</f>
        <v>194</v>
      </c>
      <c r="J139">
        <f t="shared" si="14"/>
        <v>0.11226851851851852</v>
      </c>
      <c r="K139" s="73">
        <f t="shared" si="15"/>
        <v>121.58580156605699</v>
      </c>
      <c r="L139">
        <f>SUM(VLOOKUP(A139,BaseTable[[GEO.id2]:[MOE - 400% FPL and over - 65 years and over - No health insurance]],17,0),VLOOKUP(A139,BaseTable[[GEO.id2]:[MOE - 400% FPL and over - 65 years and over - No health insurance]],57,0),VLOOKUP(A139,BaseTable[[GEO.id2]:[MOE - 400% FPL and over - 65 years and over - No health insurance]],37,0))</f>
        <v>1182</v>
      </c>
      <c r="M139">
        <f t="shared" si="16"/>
        <v>0.68402777777777779</v>
      </c>
      <c r="N139" s="73">
        <f t="shared" si="17"/>
        <v>740.79596624267708</v>
      </c>
    </row>
    <row r="140" spans="1:14" x14ac:dyDescent="0.3">
      <c r="A140">
        <v>21209</v>
      </c>
      <c r="B140" t="str">
        <f>VLOOKUP(A140,UninsuredTable[],3,0)</f>
        <v>Baltimore City</v>
      </c>
      <c r="C140">
        <f>VLOOKUP(A140,UninsuredTable[],4,0)</f>
        <v>27428</v>
      </c>
      <c r="D140">
        <f>VLOOKUP(A140,UninsuredTable[],5,0)</f>
        <v>796</v>
      </c>
      <c r="E140" s="73">
        <v>796</v>
      </c>
      <c r="F140">
        <f>SUM(VLOOKUP(A140,BaseTable[[GEO.id2]:[MOE - 400% FPL and over - 65 years and over - No health insurance]],11,0),VLOOKUP(A140,BaseTable[[GEO.id2]:[MOE - 400% FPL and over - 65 years and over - No health insurance]],31,0),VLOOKUP(A140,BaseTable[[GEO.id2]:[MOE - 400% FPL and over - 65 years and over - No health insurance]],51,0))</f>
        <v>95</v>
      </c>
      <c r="G140">
        <f t="shared" si="12"/>
        <v>0.11934673366834171</v>
      </c>
      <c r="H140" s="73">
        <f t="shared" si="13"/>
        <v>95</v>
      </c>
      <c r="I140">
        <f>SUM(VLOOKUP(A140,BaseTable[[GEO.id2]:[MOE - 400% FPL and over - 65 years and over - No health insurance]],77,0),VLOOKUP(A140,BaseTable[[GEO.id2]:[MOE - 400% FPL and over - 65 years and over - No health insurance]],71,0))</f>
        <v>266</v>
      </c>
      <c r="J140">
        <f t="shared" si="14"/>
        <v>0.33417085427135679</v>
      </c>
      <c r="K140" s="73">
        <f t="shared" si="15"/>
        <v>266</v>
      </c>
      <c r="L140">
        <f>SUM(VLOOKUP(A140,BaseTable[[GEO.id2]:[MOE - 400% FPL and over - 65 years and over - No health insurance]],17,0),VLOOKUP(A140,BaseTable[[GEO.id2]:[MOE - 400% FPL and over - 65 years and over - No health insurance]],57,0),VLOOKUP(A140,BaseTable[[GEO.id2]:[MOE - 400% FPL and over - 65 years and over - No health insurance]],37,0))</f>
        <v>435</v>
      </c>
      <c r="M140">
        <f t="shared" si="16"/>
        <v>0.54648241206030146</v>
      </c>
      <c r="N140" s="73">
        <f t="shared" si="17"/>
        <v>434.99999999999994</v>
      </c>
    </row>
    <row r="141" spans="1:14" x14ac:dyDescent="0.3">
      <c r="A141">
        <v>21210</v>
      </c>
      <c r="B141" t="str">
        <f>VLOOKUP(A141,UninsuredTable[],3,0)</f>
        <v>Baltimore City</v>
      </c>
      <c r="C141">
        <f>VLOOKUP(A141,UninsuredTable[],4,0)</f>
        <v>11155</v>
      </c>
      <c r="D141">
        <f>VLOOKUP(A141,UninsuredTable[],5,0)</f>
        <v>332</v>
      </c>
      <c r="E141" s="73">
        <v>318</v>
      </c>
      <c r="F141">
        <f>SUM(VLOOKUP(A141,BaseTable[[GEO.id2]:[MOE - 400% FPL and over - 65 years and over - No health insurance]],11,0),VLOOKUP(A141,BaseTable[[GEO.id2]:[MOE - 400% FPL and over - 65 years and over - No health insurance]],31,0),VLOOKUP(A141,BaseTable[[GEO.id2]:[MOE - 400% FPL and over - 65 years and over - No health insurance]],51,0))</f>
        <v>21</v>
      </c>
      <c r="G141">
        <f t="shared" si="12"/>
        <v>6.3253012048192767E-2</v>
      </c>
      <c r="H141" s="73">
        <f t="shared" si="13"/>
        <v>20.1144578313253</v>
      </c>
      <c r="I141">
        <f>SUM(VLOOKUP(A141,BaseTable[[GEO.id2]:[MOE - 400% FPL and over - 65 years and over - No health insurance]],77,0),VLOOKUP(A141,BaseTable[[GEO.id2]:[MOE - 400% FPL and over - 65 years and over - No health insurance]],71,0))</f>
        <v>105</v>
      </c>
      <c r="J141">
        <f t="shared" si="14"/>
        <v>0.31626506024096385</v>
      </c>
      <c r="K141" s="73">
        <f t="shared" si="15"/>
        <v>100.5722891566265</v>
      </c>
      <c r="L141">
        <f>SUM(VLOOKUP(A141,BaseTable[[GEO.id2]:[MOE - 400% FPL and over - 65 years and over - No health insurance]],17,0),VLOOKUP(A141,BaseTable[[GEO.id2]:[MOE - 400% FPL and over - 65 years and over - No health insurance]],57,0),VLOOKUP(A141,BaseTable[[GEO.id2]:[MOE - 400% FPL and over - 65 years and over - No health insurance]],37,0))</f>
        <v>192</v>
      </c>
      <c r="M141">
        <f t="shared" si="16"/>
        <v>0.57831325301204817</v>
      </c>
      <c r="N141" s="73">
        <f t="shared" si="17"/>
        <v>183.90361445783131</v>
      </c>
    </row>
    <row r="142" spans="1:14" x14ac:dyDescent="0.3">
      <c r="A142">
        <v>21211</v>
      </c>
      <c r="B142" t="str">
        <f>VLOOKUP(A142,UninsuredTable[],3,0)</f>
        <v>Baltimore City</v>
      </c>
      <c r="C142">
        <f>VLOOKUP(A142,UninsuredTable[],4,0)</f>
        <v>15985</v>
      </c>
      <c r="D142">
        <f>VLOOKUP(A142,UninsuredTable[],5,0)</f>
        <v>862</v>
      </c>
      <c r="E142" s="73">
        <v>862</v>
      </c>
      <c r="F142">
        <f>SUM(VLOOKUP(A142,BaseTable[[GEO.id2]:[MOE - 400% FPL and over - 65 years and over - No health insurance]],11,0),VLOOKUP(A142,BaseTable[[GEO.id2]:[MOE - 400% FPL and over - 65 years and over - No health insurance]],31,0),VLOOKUP(A142,BaseTable[[GEO.id2]:[MOE - 400% FPL and over - 65 years and over - No health insurance]],51,0))</f>
        <v>5</v>
      </c>
      <c r="G142">
        <f t="shared" si="12"/>
        <v>5.8004640371229696E-3</v>
      </c>
      <c r="H142" s="73">
        <f t="shared" si="13"/>
        <v>5</v>
      </c>
      <c r="I142">
        <f>SUM(VLOOKUP(A142,BaseTable[[GEO.id2]:[MOE - 400% FPL and over - 65 years and over - No health insurance]],77,0),VLOOKUP(A142,BaseTable[[GEO.id2]:[MOE - 400% FPL and over - 65 years and over - No health insurance]],71,0))</f>
        <v>179</v>
      </c>
      <c r="J142">
        <f t="shared" si="14"/>
        <v>0.20765661252900233</v>
      </c>
      <c r="K142" s="73">
        <f t="shared" si="15"/>
        <v>179</v>
      </c>
      <c r="L142">
        <f>SUM(VLOOKUP(A142,BaseTable[[GEO.id2]:[MOE - 400% FPL and over - 65 years and over - No health insurance]],17,0),VLOOKUP(A142,BaseTable[[GEO.id2]:[MOE - 400% FPL and over - 65 years and over - No health insurance]],57,0),VLOOKUP(A142,BaseTable[[GEO.id2]:[MOE - 400% FPL and over - 65 years and over - No health insurance]],37,0))</f>
        <v>678</v>
      </c>
      <c r="M142">
        <f t="shared" si="16"/>
        <v>0.78654292343387466</v>
      </c>
      <c r="N142" s="73">
        <f t="shared" si="17"/>
        <v>678</v>
      </c>
    </row>
    <row r="143" spans="1:14" x14ac:dyDescent="0.3">
      <c r="A143">
        <v>21212</v>
      </c>
      <c r="B143" t="str">
        <f>VLOOKUP(A143,UninsuredTable[],3,0)</f>
        <v>Baltimore City</v>
      </c>
      <c r="C143">
        <f>VLOOKUP(A143,UninsuredTable[],4,0)</f>
        <v>33560</v>
      </c>
      <c r="D143">
        <f>VLOOKUP(A143,UninsuredTable[],5,0)</f>
        <v>1956</v>
      </c>
      <c r="E143" s="73">
        <v>1346.1712986092034</v>
      </c>
      <c r="F143">
        <f>SUM(VLOOKUP(A143,BaseTable[[GEO.id2]:[MOE - 400% FPL and over - 65 years and over - No health insurance]],11,0),VLOOKUP(A143,BaseTable[[GEO.id2]:[MOE - 400% FPL and over - 65 years and over - No health insurance]],31,0),VLOOKUP(A143,BaseTable[[GEO.id2]:[MOE - 400% FPL and over - 65 years and over - No health insurance]],51,0))</f>
        <v>273</v>
      </c>
      <c r="G143">
        <f t="shared" si="12"/>
        <v>0.13957055214723926</v>
      </c>
      <c r="H143" s="73">
        <f t="shared" si="13"/>
        <v>187.88587143165262</v>
      </c>
      <c r="I143">
        <f>SUM(VLOOKUP(A143,BaseTable[[GEO.id2]:[MOE - 400% FPL and over - 65 years and over - No health insurance]],77,0),VLOOKUP(A143,BaseTable[[GEO.id2]:[MOE - 400% FPL and over - 65 years and over - No health insurance]],71,0))</f>
        <v>375</v>
      </c>
      <c r="J143">
        <f t="shared" si="14"/>
        <v>0.19171779141104295</v>
      </c>
      <c r="K143" s="73">
        <f t="shared" si="15"/>
        <v>258.08498823029208</v>
      </c>
      <c r="L143">
        <f>SUM(VLOOKUP(A143,BaseTable[[GEO.id2]:[MOE - 400% FPL and over - 65 years and over - No health insurance]],17,0),VLOOKUP(A143,BaseTable[[GEO.id2]:[MOE - 400% FPL and over - 65 years and over - No health insurance]],57,0),VLOOKUP(A143,BaseTable[[GEO.id2]:[MOE - 400% FPL and over - 65 years and over - No health insurance]],37,0))</f>
        <v>1302</v>
      </c>
      <c r="M143">
        <f t="shared" si="16"/>
        <v>0.66564417177914115</v>
      </c>
      <c r="N143" s="73">
        <f t="shared" si="17"/>
        <v>896.07107913557411</v>
      </c>
    </row>
    <row r="144" spans="1:14" x14ac:dyDescent="0.3">
      <c r="A144">
        <v>21213</v>
      </c>
      <c r="B144" t="str">
        <f>VLOOKUP(A144,UninsuredTable[],3,0)</f>
        <v>Baltimore City</v>
      </c>
      <c r="C144">
        <f>VLOOKUP(A144,UninsuredTable[],4,0)</f>
        <v>31583</v>
      </c>
      <c r="D144">
        <f>VLOOKUP(A144,UninsuredTable[],5,0)</f>
        <v>2379</v>
      </c>
      <c r="E144" s="73">
        <v>1778.1539625245161</v>
      </c>
      <c r="F144">
        <f>SUM(VLOOKUP(A144,BaseTable[[GEO.id2]:[MOE - 400% FPL and over - 65 years and over - No health insurance]],11,0),VLOOKUP(A144,BaseTable[[GEO.id2]:[MOE - 400% FPL and over - 65 years and over - No health insurance]],31,0),VLOOKUP(A144,BaseTable[[GEO.id2]:[MOE - 400% FPL and over - 65 years and over - No health insurance]],51,0))</f>
        <v>266</v>
      </c>
      <c r="G144">
        <f t="shared" si="12"/>
        <v>0.11181168558217738</v>
      </c>
      <c r="H144" s="73">
        <f t="shared" si="13"/>
        <v>198.81839177449402</v>
      </c>
      <c r="I144">
        <f>SUM(VLOOKUP(A144,BaseTable[[GEO.id2]:[MOE - 400% FPL and over - 65 years and over - No health insurance]],77,0),VLOOKUP(A144,BaseTable[[GEO.id2]:[MOE - 400% FPL and over - 65 years and over - No health insurance]],71,0))</f>
        <v>338</v>
      </c>
      <c r="J144">
        <f t="shared" si="14"/>
        <v>0.14207650273224043</v>
      </c>
      <c r="K144" s="73">
        <f t="shared" si="15"/>
        <v>252.63389631495858</v>
      </c>
      <c r="L144">
        <f>SUM(VLOOKUP(A144,BaseTable[[GEO.id2]:[MOE - 400% FPL and over - 65 years and over - No health insurance]],17,0),VLOOKUP(A144,BaseTable[[GEO.id2]:[MOE - 400% FPL and over - 65 years and over - No health insurance]],57,0),VLOOKUP(A144,BaseTable[[GEO.id2]:[MOE - 400% FPL and over - 65 years and over - No health insurance]],37,0))</f>
        <v>1759</v>
      </c>
      <c r="M144">
        <f t="shared" si="16"/>
        <v>0.739386296763346</v>
      </c>
      <c r="N144" s="73">
        <f t="shared" si="17"/>
        <v>1314.7426734260714</v>
      </c>
    </row>
    <row r="145" spans="1:14" x14ac:dyDescent="0.3">
      <c r="A145">
        <v>21214</v>
      </c>
      <c r="B145" t="str">
        <f>VLOOKUP(A145,UninsuredTable[],3,0)</f>
        <v>Baltimore City</v>
      </c>
      <c r="C145">
        <f>VLOOKUP(A145,UninsuredTable[],4,0)</f>
        <v>20543</v>
      </c>
      <c r="D145">
        <f>VLOOKUP(A145,UninsuredTable[],5,0)</f>
        <v>1190</v>
      </c>
      <c r="E145" s="73">
        <v>867.8154718933871</v>
      </c>
      <c r="F145">
        <f>SUM(VLOOKUP(A145,BaseTable[[GEO.id2]:[MOE - 400% FPL and over - 65 years and over - No health insurance]],11,0),VLOOKUP(A145,BaseTable[[GEO.id2]:[MOE - 400% FPL and over - 65 years and over - No health insurance]],31,0),VLOOKUP(A145,BaseTable[[GEO.id2]:[MOE - 400% FPL and over - 65 years and over - No health insurance]],51,0))</f>
        <v>29</v>
      </c>
      <c r="G145">
        <f t="shared" si="12"/>
        <v>2.4369747899159664E-2</v>
      </c>
      <c r="H145" s="73">
        <f t="shared" si="13"/>
        <v>21.148444273032123</v>
      </c>
      <c r="I145">
        <f>SUM(VLOOKUP(A145,BaseTable[[GEO.id2]:[MOE - 400% FPL and over - 65 years and over - No health insurance]],77,0),VLOOKUP(A145,BaseTable[[GEO.id2]:[MOE - 400% FPL and over - 65 years and over - No health insurance]],71,0))</f>
        <v>312</v>
      </c>
      <c r="J145">
        <f t="shared" si="14"/>
        <v>0.26218487394957984</v>
      </c>
      <c r="K145" s="73">
        <f t="shared" si="15"/>
        <v>227.52809010986286</v>
      </c>
      <c r="L145">
        <f>SUM(VLOOKUP(A145,BaseTable[[GEO.id2]:[MOE - 400% FPL and over - 65 years and over - No health insurance]],17,0),VLOOKUP(A145,BaseTable[[GEO.id2]:[MOE - 400% FPL and over - 65 years and over - No health insurance]],57,0),VLOOKUP(A145,BaseTable[[GEO.id2]:[MOE - 400% FPL and over - 65 years and over - No health insurance]],37,0))</f>
        <v>849</v>
      </c>
      <c r="M145">
        <f t="shared" si="16"/>
        <v>0.71344537815126052</v>
      </c>
      <c r="N145" s="73">
        <f t="shared" si="17"/>
        <v>619.13893751049216</v>
      </c>
    </row>
    <row r="146" spans="1:14" x14ac:dyDescent="0.3">
      <c r="A146">
        <v>21215</v>
      </c>
      <c r="B146" t="str">
        <f>VLOOKUP(A146,UninsuredTable[],3,0)</f>
        <v>Baltimore City</v>
      </c>
      <c r="C146">
        <f>VLOOKUP(A146,UninsuredTable[],4,0)</f>
        <v>58238</v>
      </c>
      <c r="D146">
        <f>VLOOKUP(A146,UninsuredTable[],5,0)</f>
        <v>5228</v>
      </c>
      <c r="E146" s="73">
        <v>3662.8829520408358</v>
      </c>
      <c r="F146">
        <f>SUM(VLOOKUP(A146,BaseTable[[GEO.id2]:[MOE - 400% FPL and over - 65 years and over - No health insurance]],11,0),VLOOKUP(A146,BaseTable[[GEO.id2]:[MOE - 400% FPL and over - 65 years and over - No health insurance]],31,0),VLOOKUP(A146,BaseTable[[GEO.id2]:[MOE - 400% FPL and over - 65 years and over - No health insurance]],51,0))</f>
        <v>524</v>
      </c>
      <c r="G146">
        <f t="shared" si="12"/>
        <v>0.10022953328232594</v>
      </c>
      <c r="H146" s="73">
        <f t="shared" si="13"/>
        <v>367.12904875084121</v>
      </c>
      <c r="I146">
        <f>SUM(VLOOKUP(A146,BaseTable[[GEO.id2]:[MOE - 400% FPL and over - 65 years and over - No health insurance]],77,0),VLOOKUP(A146,BaseTable[[GEO.id2]:[MOE - 400% FPL and over - 65 years and over - No health insurance]],71,0))</f>
        <v>1011</v>
      </c>
      <c r="J146">
        <f t="shared" si="14"/>
        <v>0.19338179035960215</v>
      </c>
      <c r="K146" s="73">
        <f t="shared" si="15"/>
        <v>708.33486314332151</v>
      </c>
      <c r="L146">
        <f>SUM(VLOOKUP(A146,BaseTable[[GEO.id2]:[MOE - 400% FPL and over - 65 years and over - No health insurance]],17,0),VLOOKUP(A146,BaseTable[[GEO.id2]:[MOE - 400% FPL and over - 65 years and over - No health insurance]],57,0),VLOOKUP(A146,BaseTable[[GEO.id2]:[MOE - 400% FPL and over - 65 years and over - No health insurance]],37,0))</f>
        <v>3635</v>
      </c>
      <c r="M146">
        <f t="shared" si="16"/>
        <v>0.69529456771231823</v>
      </c>
      <c r="N146" s="73">
        <f t="shared" si="17"/>
        <v>2546.7826187200531</v>
      </c>
    </row>
    <row r="147" spans="1:14" x14ac:dyDescent="0.3">
      <c r="A147">
        <v>21216</v>
      </c>
      <c r="B147" t="str">
        <f>VLOOKUP(A147,UninsuredTable[],3,0)</f>
        <v>Baltimore City</v>
      </c>
      <c r="C147">
        <f>VLOOKUP(A147,UninsuredTable[],4,0)</f>
        <v>29262</v>
      </c>
      <c r="D147">
        <f>VLOOKUP(A147,UninsuredTable[],5,0)</f>
        <v>2427</v>
      </c>
      <c r="E147" s="73">
        <v>1821.7133285205937</v>
      </c>
      <c r="F147">
        <f>SUM(VLOOKUP(A147,BaseTable[[GEO.id2]:[MOE - 400% FPL and over - 65 years and over - No health insurance]],11,0),VLOOKUP(A147,BaseTable[[GEO.id2]:[MOE - 400% FPL and over - 65 years and over - No health insurance]],31,0),VLOOKUP(A147,BaseTable[[GEO.id2]:[MOE - 400% FPL and over - 65 years and over - No health insurance]],51,0))</f>
        <v>351</v>
      </c>
      <c r="G147">
        <f t="shared" si="12"/>
        <v>0.14462299134734241</v>
      </c>
      <c r="H147" s="73">
        <f t="shared" si="13"/>
        <v>263.46163094797214</v>
      </c>
      <c r="I147">
        <f>SUM(VLOOKUP(A147,BaseTable[[GEO.id2]:[MOE - 400% FPL and over - 65 years and over - No health insurance]],77,0),VLOOKUP(A147,BaseTable[[GEO.id2]:[MOE - 400% FPL and over - 65 years and over - No health insurance]],71,0))</f>
        <v>316</v>
      </c>
      <c r="J147">
        <f t="shared" si="14"/>
        <v>0.13020189534404614</v>
      </c>
      <c r="K147" s="73">
        <f t="shared" si="15"/>
        <v>237.19052814689226</v>
      </c>
      <c r="L147">
        <f>SUM(VLOOKUP(A147,BaseTable[[GEO.id2]:[MOE - 400% FPL and over - 65 years and over - No health insurance]],17,0),VLOOKUP(A147,BaseTable[[GEO.id2]:[MOE - 400% FPL and over - 65 years and over - No health insurance]],57,0),VLOOKUP(A147,BaseTable[[GEO.id2]:[MOE - 400% FPL and over - 65 years and over - No health insurance]],37,0))</f>
        <v>1728</v>
      </c>
      <c r="M147">
        <f t="shared" si="16"/>
        <v>0.7119901112484549</v>
      </c>
      <c r="N147" s="73">
        <f t="shared" si="17"/>
        <v>1297.0418754361706</v>
      </c>
    </row>
    <row r="148" spans="1:14" x14ac:dyDescent="0.3">
      <c r="A148">
        <v>21217</v>
      </c>
      <c r="B148" t="str">
        <f>VLOOKUP(A148,UninsuredTable[],3,0)</f>
        <v>Baltimore City</v>
      </c>
      <c r="C148">
        <f>VLOOKUP(A148,UninsuredTable[],4,0)</f>
        <v>35899</v>
      </c>
      <c r="D148">
        <f>VLOOKUP(A148,UninsuredTable[],5,0)</f>
        <v>3034</v>
      </c>
      <c r="E148" s="73">
        <v>2220.8001891023391</v>
      </c>
      <c r="F148">
        <f>SUM(VLOOKUP(A148,BaseTable[[GEO.id2]:[MOE - 400% FPL and over - 65 years and over - No health insurance]],11,0),VLOOKUP(A148,BaseTable[[GEO.id2]:[MOE - 400% FPL and over - 65 years and over - No health insurance]],31,0),VLOOKUP(A148,BaseTable[[GEO.id2]:[MOE - 400% FPL and over - 65 years and over - No health insurance]],51,0))</f>
        <v>394</v>
      </c>
      <c r="G148">
        <f t="shared" si="12"/>
        <v>0.12986156888595912</v>
      </c>
      <c r="H148" s="73">
        <f t="shared" si="13"/>
        <v>288.39659673906448</v>
      </c>
      <c r="I148">
        <f>SUM(VLOOKUP(A148,BaseTable[[GEO.id2]:[MOE - 400% FPL and over - 65 years and over - No health insurance]],77,0),VLOOKUP(A148,BaseTable[[GEO.id2]:[MOE - 400% FPL and over - 65 years and over - No health insurance]],71,0))</f>
        <v>247</v>
      </c>
      <c r="J148">
        <f t="shared" si="14"/>
        <v>8.1410678971654576E-2</v>
      </c>
      <c r="K148" s="73">
        <f t="shared" si="15"/>
        <v>180.79685125520029</v>
      </c>
      <c r="L148">
        <f>SUM(VLOOKUP(A148,BaseTable[[GEO.id2]:[MOE - 400% FPL and over - 65 years and over - No health insurance]],17,0),VLOOKUP(A148,BaseTable[[GEO.id2]:[MOE - 400% FPL and over - 65 years and over - No health insurance]],57,0),VLOOKUP(A148,BaseTable[[GEO.id2]:[MOE - 400% FPL and over - 65 years and over - No health insurance]],37,0))</f>
        <v>2363</v>
      </c>
      <c r="M148">
        <f t="shared" si="16"/>
        <v>0.77883981542518133</v>
      </c>
      <c r="N148" s="73">
        <f t="shared" si="17"/>
        <v>1729.6476093766735</v>
      </c>
    </row>
    <row r="149" spans="1:14" x14ac:dyDescent="0.3">
      <c r="A149">
        <v>21218</v>
      </c>
      <c r="B149" t="str">
        <f>VLOOKUP(A149,UninsuredTable[],3,0)</f>
        <v>Baltimore City</v>
      </c>
      <c r="C149">
        <f>VLOOKUP(A149,UninsuredTable[],4,0)</f>
        <v>44181</v>
      </c>
      <c r="D149">
        <f>VLOOKUP(A149,UninsuredTable[],5,0)</f>
        <v>3155</v>
      </c>
      <c r="E149" s="73">
        <v>2234.0359779976875</v>
      </c>
      <c r="F149">
        <f>SUM(VLOOKUP(A149,BaseTable[[GEO.id2]:[MOE - 400% FPL and over - 65 years and over - No health insurance]],11,0),VLOOKUP(A149,BaseTable[[GEO.id2]:[MOE - 400% FPL and over - 65 years and over - No health insurance]],31,0),VLOOKUP(A149,BaseTable[[GEO.id2]:[MOE - 400% FPL and over - 65 years and over - No health insurance]],51,0))</f>
        <v>174</v>
      </c>
      <c r="G149">
        <f t="shared" si="12"/>
        <v>5.5150554675118861E-2</v>
      </c>
      <c r="H149" s="73">
        <f t="shared" si="13"/>
        <v>123.2083233507441</v>
      </c>
      <c r="I149">
        <f>SUM(VLOOKUP(A149,BaseTable[[GEO.id2]:[MOE - 400% FPL and over - 65 years and over - No health insurance]],77,0),VLOOKUP(A149,BaseTable[[GEO.id2]:[MOE - 400% FPL and over - 65 years and over - No health insurance]],71,0))</f>
        <v>434</v>
      </c>
      <c r="J149">
        <f t="shared" si="14"/>
        <v>0.1375594294770206</v>
      </c>
      <c r="K149" s="73">
        <f t="shared" si="15"/>
        <v>307.31271456449963</v>
      </c>
      <c r="L149">
        <f>SUM(VLOOKUP(A149,BaseTable[[GEO.id2]:[MOE - 400% FPL and over - 65 years and over - No health insurance]],17,0),VLOOKUP(A149,BaseTable[[GEO.id2]:[MOE - 400% FPL and over - 65 years and over - No health insurance]],57,0),VLOOKUP(A149,BaseTable[[GEO.id2]:[MOE - 400% FPL and over - 65 years and over - No health insurance]],37,0))</f>
        <v>2529</v>
      </c>
      <c r="M149">
        <f t="shared" si="16"/>
        <v>0.80158478605388273</v>
      </c>
      <c r="N149" s="73">
        <f t="shared" si="17"/>
        <v>1790.769251459953</v>
      </c>
    </row>
    <row r="150" spans="1:14" x14ac:dyDescent="0.3">
      <c r="A150">
        <v>21219</v>
      </c>
      <c r="B150" t="str">
        <f>VLOOKUP(A150,UninsuredTable[],3,0)</f>
        <v>Baltimore</v>
      </c>
      <c r="C150">
        <f>VLOOKUP(A150,UninsuredTable[],4,0)</f>
        <v>9524</v>
      </c>
      <c r="D150">
        <f>VLOOKUP(A150,UninsuredTable[],5,0)</f>
        <v>401</v>
      </c>
      <c r="E150" s="73">
        <v>384</v>
      </c>
      <c r="F150">
        <f>SUM(VLOOKUP(A150,BaseTable[[GEO.id2]:[MOE - 400% FPL and over - 65 years and over - No health insurance]],11,0),VLOOKUP(A150,BaseTable[[GEO.id2]:[MOE - 400% FPL and over - 65 years and over - No health insurance]],31,0),VLOOKUP(A150,BaseTable[[GEO.id2]:[MOE - 400% FPL and over - 65 years and over - No health insurance]],51,0))</f>
        <v>14</v>
      </c>
      <c r="G150">
        <f t="shared" si="12"/>
        <v>3.4912718204488775E-2</v>
      </c>
      <c r="H150" s="73">
        <f t="shared" si="13"/>
        <v>13.406483790523691</v>
      </c>
      <c r="I150">
        <f>SUM(VLOOKUP(A150,BaseTable[[GEO.id2]:[MOE - 400% FPL and over - 65 years and over - No health insurance]],77,0),VLOOKUP(A150,BaseTable[[GEO.id2]:[MOE - 400% FPL and over - 65 years and over - No health insurance]],71,0))</f>
        <v>103</v>
      </c>
      <c r="J150">
        <f t="shared" si="14"/>
        <v>0.256857855361596</v>
      </c>
      <c r="K150" s="73">
        <f t="shared" si="15"/>
        <v>98.633416458852864</v>
      </c>
      <c r="L150">
        <f>SUM(VLOOKUP(A150,BaseTable[[GEO.id2]:[MOE - 400% FPL and over - 65 years and over - No health insurance]],17,0),VLOOKUP(A150,BaseTable[[GEO.id2]:[MOE - 400% FPL and over - 65 years and over - No health insurance]],57,0),VLOOKUP(A150,BaseTable[[GEO.id2]:[MOE - 400% FPL and over - 65 years and over - No health insurance]],37,0))</f>
        <v>267</v>
      </c>
      <c r="M150">
        <f t="shared" si="16"/>
        <v>0.66583541147132175</v>
      </c>
      <c r="N150" s="73">
        <f t="shared" si="17"/>
        <v>255.68079800498754</v>
      </c>
    </row>
    <row r="151" spans="1:14" x14ac:dyDescent="0.3">
      <c r="A151">
        <v>21220</v>
      </c>
      <c r="B151" t="str">
        <f>VLOOKUP(A151,UninsuredTable[],3,0)</f>
        <v>Baltimore</v>
      </c>
      <c r="C151">
        <f>VLOOKUP(A151,UninsuredTable[],4,0)</f>
        <v>40016</v>
      </c>
      <c r="D151">
        <f>VLOOKUP(A151,UninsuredTable[],5,0)</f>
        <v>3789</v>
      </c>
      <c r="E151" s="73">
        <v>2289.6031789636427</v>
      </c>
      <c r="F151">
        <f>SUM(VLOOKUP(A151,BaseTable[[GEO.id2]:[MOE - 400% FPL and over - 65 years and over - No health insurance]],11,0),VLOOKUP(A151,BaseTable[[GEO.id2]:[MOE - 400% FPL and over - 65 years and over - No health insurance]],31,0),VLOOKUP(A151,BaseTable[[GEO.id2]:[MOE - 400% FPL and over - 65 years and over - No health insurance]],51,0))</f>
        <v>393</v>
      </c>
      <c r="G151">
        <f t="shared" si="12"/>
        <v>0.10372129849564529</v>
      </c>
      <c r="H151" s="73">
        <f t="shared" si="13"/>
        <v>237.48061476186635</v>
      </c>
      <c r="I151">
        <f>SUM(VLOOKUP(A151,BaseTable[[GEO.id2]:[MOE - 400% FPL and over - 65 years and over - No health insurance]],77,0),VLOOKUP(A151,BaseTable[[GEO.id2]:[MOE - 400% FPL and over - 65 years and over - No health insurance]],71,0))</f>
        <v>911</v>
      </c>
      <c r="J151">
        <f t="shared" si="14"/>
        <v>0.24043283188176301</v>
      </c>
      <c r="K151" s="73">
        <f t="shared" si="15"/>
        <v>550.49577620371565</v>
      </c>
      <c r="L151">
        <f>SUM(VLOOKUP(A151,BaseTable[[GEO.id2]:[MOE - 400% FPL and over - 65 years and over - No health insurance]],17,0),VLOOKUP(A151,BaseTable[[GEO.id2]:[MOE - 400% FPL and over - 65 years and over - No health insurance]],57,0),VLOOKUP(A151,BaseTable[[GEO.id2]:[MOE - 400% FPL and over - 65 years and over - No health insurance]],37,0))</f>
        <v>2423</v>
      </c>
      <c r="M151">
        <f t="shared" si="16"/>
        <v>0.6394827131169174</v>
      </c>
      <c r="N151" s="73">
        <f t="shared" si="17"/>
        <v>1464.1616528447892</v>
      </c>
    </row>
    <row r="152" spans="1:14" x14ac:dyDescent="0.3">
      <c r="A152">
        <v>21221</v>
      </c>
      <c r="B152" t="str">
        <f>VLOOKUP(A152,UninsuredTable[],3,0)</f>
        <v>Baltimore</v>
      </c>
      <c r="C152">
        <f>VLOOKUP(A152,UninsuredTable[],4,0)</f>
        <v>41756</v>
      </c>
      <c r="D152">
        <f>VLOOKUP(A152,UninsuredTable[],5,0)</f>
        <v>3935</v>
      </c>
      <c r="E152" s="73">
        <v>2664.3524765378943</v>
      </c>
      <c r="F152">
        <f>SUM(VLOOKUP(A152,BaseTable[[GEO.id2]:[MOE - 400% FPL and over - 65 years and over - No health insurance]],11,0),VLOOKUP(A152,BaseTable[[GEO.id2]:[MOE - 400% FPL and over - 65 years and over - No health insurance]],31,0),VLOOKUP(A152,BaseTable[[GEO.id2]:[MOE - 400% FPL and over - 65 years and over - No health insurance]],51,0))</f>
        <v>393</v>
      </c>
      <c r="G152">
        <f t="shared" si="12"/>
        <v>9.9872935196950438E-2</v>
      </c>
      <c r="H152" s="73">
        <f t="shared" si="13"/>
        <v>266.09670223110351</v>
      </c>
      <c r="I152">
        <f>SUM(VLOOKUP(A152,BaseTable[[GEO.id2]:[MOE - 400% FPL and over - 65 years and over - No health insurance]],77,0),VLOOKUP(A152,BaseTable[[GEO.id2]:[MOE - 400% FPL and over - 65 years and over - No health insurance]],71,0))</f>
        <v>828</v>
      </c>
      <c r="J152">
        <f t="shared" si="14"/>
        <v>0.21041931385006354</v>
      </c>
      <c r="K152" s="73">
        <f t="shared" si="15"/>
        <v>560.63121996782127</v>
      </c>
      <c r="L152">
        <f>SUM(VLOOKUP(A152,BaseTable[[GEO.id2]:[MOE - 400% FPL and over - 65 years and over - No health insurance]],17,0),VLOOKUP(A152,BaseTable[[GEO.id2]:[MOE - 400% FPL and over - 65 years and over - No health insurance]],57,0),VLOOKUP(A152,BaseTable[[GEO.id2]:[MOE - 400% FPL and over - 65 years and over - No health insurance]],37,0))</f>
        <v>2684</v>
      </c>
      <c r="M152">
        <f t="shared" si="16"/>
        <v>0.68208386277001276</v>
      </c>
      <c r="N152" s="73">
        <f t="shared" si="17"/>
        <v>1817.3118289778167</v>
      </c>
    </row>
    <row r="153" spans="1:14" x14ac:dyDescent="0.3">
      <c r="A153">
        <v>21222</v>
      </c>
      <c r="B153" t="str">
        <f>VLOOKUP(A153,UninsuredTable[],3,0)</f>
        <v>Baltimore</v>
      </c>
      <c r="C153">
        <f>VLOOKUP(A153,UninsuredTable[],4,0)</f>
        <v>54437</v>
      </c>
      <c r="D153">
        <f>VLOOKUP(A153,UninsuredTable[],5,0)</f>
        <v>4429</v>
      </c>
      <c r="E153" s="73">
        <v>3102.6343029087266</v>
      </c>
      <c r="F153">
        <f>SUM(VLOOKUP(A153,BaseTable[[GEO.id2]:[MOE - 400% FPL and over - 65 years and over - No health insurance]],11,0),VLOOKUP(A153,BaseTable[[GEO.id2]:[MOE - 400% FPL and over - 65 years and over - No health insurance]],31,0),VLOOKUP(A153,BaseTable[[GEO.id2]:[MOE - 400% FPL and over - 65 years and over - No health insurance]],51,0))</f>
        <v>547</v>
      </c>
      <c r="G153">
        <f t="shared" si="12"/>
        <v>0.12350417701512757</v>
      </c>
      <c r="H153" s="73">
        <f t="shared" si="13"/>
        <v>383.18829615964631</v>
      </c>
      <c r="I153">
        <f>SUM(VLOOKUP(A153,BaseTable[[GEO.id2]:[MOE - 400% FPL and over - 65 years and over - No health insurance]],77,0),VLOOKUP(A153,BaseTable[[GEO.id2]:[MOE - 400% FPL and over - 65 years and over - No health insurance]],71,0))</f>
        <v>711</v>
      </c>
      <c r="J153">
        <f t="shared" si="14"/>
        <v>0.16053285165951683</v>
      </c>
      <c r="K153" s="73">
        <f t="shared" si="15"/>
        <v>498.074732302575</v>
      </c>
      <c r="L153">
        <f>SUM(VLOOKUP(A153,BaseTable[[GEO.id2]:[MOE - 400% FPL and over - 65 years and over - No health insurance]],17,0),VLOOKUP(A153,BaseTable[[GEO.id2]:[MOE - 400% FPL and over - 65 years and over - No health insurance]],57,0),VLOOKUP(A153,BaseTable[[GEO.id2]:[MOE - 400% FPL and over - 65 years and over - No health insurance]],37,0))</f>
        <v>3171</v>
      </c>
      <c r="M153">
        <f t="shared" si="16"/>
        <v>0.71596297132535558</v>
      </c>
      <c r="N153" s="73">
        <f t="shared" si="17"/>
        <v>2221.3712744465051</v>
      </c>
    </row>
    <row r="154" spans="1:14" x14ac:dyDescent="0.3">
      <c r="A154">
        <v>21223</v>
      </c>
      <c r="B154" t="str">
        <f>VLOOKUP(A154,UninsuredTable[],3,0)</f>
        <v>Baltimore City</v>
      </c>
      <c r="C154">
        <f>VLOOKUP(A154,UninsuredTable[],4,0)</f>
        <v>23523</v>
      </c>
      <c r="D154">
        <f>VLOOKUP(A154,UninsuredTable[],5,0)</f>
        <v>2453</v>
      </c>
      <c r="E154" s="73">
        <v>1644.0766120016099</v>
      </c>
      <c r="F154">
        <f>SUM(VLOOKUP(A154,BaseTable[[GEO.id2]:[MOE - 400% FPL and over - 65 years and over - No health insurance]],11,0),VLOOKUP(A154,BaseTable[[GEO.id2]:[MOE - 400% FPL and over - 65 years and over - No health insurance]],31,0),VLOOKUP(A154,BaseTable[[GEO.id2]:[MOE - 400% FPL and over - 65 years and over - No health insurance]],51,0))</f>
        <v>244</v>
      </c>
      <c r="G154">
        <f t="shared" si="12"/>
        <v>9.947003668976763E-2</v>
      </c>
      <c r="H154" s="73">
        <f t="shared" si="13"/>
        <v>163.53636091658899</v>
      </c>
      <c r="I154">
        <f>SUM(VLOOKUP(A154,BaseTable[[GEO.id2]:[MOE - 400% FPL and over - 65 years and over - No health insurance]],77,0),VLOOKUP(A154,BaseTable[[GEO.id2]:[MOE - 400% FPL and over - 65 years and over - No health insurance]],71,0))</f>
        <v>267</v>
      </c>
      <c r="J154">
        <f t="shared" si="14"/>
        <v>0.10884631064003261</v>
      </c>
      <c r="K154" s="73">
        <f t="shared" si="15"/>
        <v>178.95167362593961</v>
      </c>
      <c r="L154">
        <f>SUM(VLOOKUP(A154,BaseTable[[GEO.id2]:[MOE - 400% FPL and over - 65 years and over - No health insurance]],17,0),VLOOKUP(A154,BaseTable[[GEO.id2]:[MOE - 400% FPL and over - 65 years and over - No health insurance]],57,0),VLOOKUP(A154,BaseTable[[GEO.id2]:[MOE - 400% FPL and over - 65 years and over - No health insurance]],37,0))</f>
        <v>1911</v>
      </c>
      <c r="M154">
        <f t="shared" si="16"/>
        <v>0.77904606604158178</v>
      </c>
      <c r="N154" s="73">
        <f t="shared" si="17"/>
        <v>1280.8114168508262</v>
      </c>
    </row>
    <row r="155" spans="1:14" x14ac:dyDescent="0.3">
      <c r="A155">
        <v>21224</v>
      </c>
      <c r="B155" t="str">
        <f>VLOOKUP(A155,UninsuredTable[],3,0)</f>
        <v>Baltimore City</v>
      </c>
      <c r="C155">
        <f>VLOOKUP(A155,UninsuredTable[],4,0)</f>
        <v>50322</v>
      </c>
      <c r="D155">
        <f>VLOOKUP(A155,UninsuredTable[],5,0)</f>
        <v>7517</v>
      </c>
      <c r="E155" s="73">
        <v>3688.4233336953534</v>
      </c>
      <c r="F155">
        <f>SUM(VLOOKUP(A155,BaseTable[[GEO.id2]:[MOE - 400% FPL and over - 65 years and over - No health insurance]],11,0),VLOOKUP(A155,BaseTable[[GEO.id2]:[MOE - 400% FPL and over - 65 years and over - No health insurance]],31,0),VLOOKUP(A155,BaseTable[[GEO.id2]:[MOE - 400% FPL and over - 65 years and over - No health insurance]],51,0))</f>
        <v>1236</v>
      </c>
      <c r="G155">
        <f t="shared" si="12"/>
        <v>0.16442729812425169</v>
      </c>
      <c r="H155" s="73">
        <f t="shared" si="13"/>
        <v>606.47748309797214</v>
      </c>
      <c r="I155">
        <f>SUM(VLOOKUP(A155,BaseTable[[GEO.id2]:[MOE - 400% FPL and over - 65 years and over - No health insurance]],77,0),VLOOKUP(A155,BaseTable[[GEO.id2]:[MOE - 400% FPL and over - 65 years and over - No health insurance]],71,0))</f>
        <v>1021</v>
      </c>
      <c r="J155">
        <f t="shared" si="14"/>
        <v>0.13582546228548623</v>
      </c>
      <c r="K155" s="73">
        <f t="shared" si="15"/>
        <v>500.98180440374563</v>
      </c>
      <c r="L155">
        <f>SUM(VLOOKUP(A155,BaseTable[[GEO.id2]:[MOE - 400% FPL and over - 65 years and over - No health insurance]],17,0),VLOOKUP(A155,BaseTable[[GEO.id2]:[MOE - 400% FPL and over - 65 years and over - No health insurance]],57,0),VLOOKUP(A155,BaseTable[[GEO.id2]:[MOE - 400% FPL and over - 65 years and over - No health insurance]],37,0))</f>
        <v>5260</v>
      </c>
      <c r="M155">
        <f t="shared" si="16"/>
        <v>0.69974723959026208</v>
      </c>
      <c r="N155" s="73">
        <f t="shared" si="17"/>
        <v>2580.9640461936356</v>
      </c>
    </row>
    <row r="156" spans="1:14" x14ac:dyDescent="0.3">
      <c r="A156">
        <v>21225</v>
      </c>
      <c r="B156" t="str">
        <f>VLOOKUP(A156,UninsuredTable[],3,0)</f>
        <v>Baltimore City</v>
      </c>
      <c r="C156">
        <f>VLOOKUP(A156,UninsuredTable[],4,0)</f>
        <v>32786</v>
      </c>
      <c r="D156">
        <f>VLOOKUP(A156,UninsuredTable[],5,0)</f>
        <v>3281</v>
      </c>
      <c r="E156" s="73">
        <v>2110.1765219224553</v>
      </c>
      <c r="F156">
        <f>SUM(VLOOKUP(A156,BaseTable[[GEO.id2]:[MOE - 400% FPL and over - 65 years and over - No health insurance]],11,0),VLOOKUP(A156,BaseTable[[GEO.id2]:[MOE - 400% FPL and over - 65 years and over - No health insurance]],31,0),VLOOKUP(A156,BaseTable[[GEO.id2]:[MOE - 400% FPL and over - 65 years and over - No health insurance]],51,0))</f>
        <v>364</v>
      </c>
      <c r="G156">
        <f t="shared" si="12"/>
        <v>0.11094178604084121</v>
      </c>
      <c r="H156" s="73">
        <f t="shared" si="13"/>
        <v>234.10675220352749</v>
      </c>
      <c r="I156">
        <f>SUM(VLOOKUP(A156,BaseTable[[GEO.id2]:[MOE - 400% FPL and over - 65 years and over - No health insurance]],77,0),VLOOKUP(A156,BaseTable[[GEO.id2]:[MOE - 400% FPL and over - 65 years and over - No health insurance]],71,0))</f>
        <v>466</v>
      </c>
      <c r="J156">
        <f t="shared" si="14"/>
        <v>0.14202986894239561</v>
      </c>
      <c r="K156" s="73">
        <f t="shared" si="15"/>
        <v>299.70809485396654</v>
      </c>
      <c r="L156">
        <f>SUM(VLOOKUP(A156,BaseTable[[GEO.id2]:[MOE - 400% FPL and over - 65 years and over - No health insurance]],17,0),VLOOKUP(A156,BaseTable[[GEO.id2]:[MOE - 400% FPL and over - 65 years and over - No health insurance]],57,0),VLOOKUP(A156,BaseTable[[GEO.id2]:[MOE - 400% FPL and over - 65 years and over - No health insurance]],37,0))</f>
        <v>2437</v>
      </c>
      <c r="M156">
        <f t="shared" si="16"/>
        <v>0.7427613532459616</v>
      </c>
      <c r="N156" s="73">
        <f t="shared" si="17"/>
        <v>1567.3575690109794</v>
      </c>
    </row>
    <row r="157" spans="1:14" x14ac:dyDescent="0.3">
      <c r="A157">
        <v>21226</v>
      </c>
      <c r="B157" t="str">
        <f>VLOOKUP(A157,UninsuredTable[],3,0)</f>
        <v>Anne Arundel</v>
      </c>
      <c r="C157">
        <f>VLOOKUP(A157,UninsuredTable[],4,0)</f>
        <v>7651</v>
      </c>
      <c r="D157">
        <f>VLOOKUP(A157,UninsuredTable[],5,0)</f>
        <v>256</v>
      </c>
      <c r="E157" s="73">
        <v>256</v>
      </c>
      <c r="F157">
        <f>SUM(VLOOKUP(A157,BaseTable[[GEO.id2]:[MOE - 400% FPL and over - 65 years and over - No health insurance]],11,0),VLOOKUP(A157,BaseTable[[GEO.id2]:[MOE - 400% FPL and over - 65 years and over - No health insurance]],31,0),VLOOKUP(A157,BaseTable[[GEO.id2]:[MOE - 400% FPL and over - 65 years and over - No health insurance]],51,0))</f>
        <v>15</v>
      </c>
      <c r="G157">
        <f t="shared" si="12"/>
        <v>5.859375E-2</v>
      </c>
      <c r="H157" s="73">
        <f t="shared" si="13"/>
        <v>15</v>
      </c>
      <c r="I157">
        <f>SUM(VLOOKUP(A157,BaseTable[[GEO.id2]:[MOE - 400% FPL and over - 65 years and over - No health insurance]],77,0),VLOOKUP(A157,BaseTable[[GEO.id2]:[MOE - 400% FPL and over - 65 years and over - No health insurance]],71,0))</f>
        <v>23</v>
      </c>
      <c r="J157">
        <f t="shared" si="14"/>
        <v>8.984375E-2</v>
      </c>
      <c r="K157" s="73">
        <f t="shared" si="15"/>
        <v>23</v>
      </c>
      <c r="L157">
        <f>SUM(VLOOKUP(A157,BaseTable[[GEO.id2]:[MOE - 400% FPL and over - 65 years and over - No health insurance]],17,0),VLOOKUP(A157,BaseTable[[GEO.id2]:[MOE - 400% FPL and over - 65 years and over - No health insurance]],57,0),VLOOKUP(A157,BaseTable[[GEO.id2]:[MOE - 400% FPL and over - 65 years and over - No health insurance]],37,0))</f>
        <v>218</v>
      </c>
      <c r="M157">
        <f t="shared" si="16"/>
        <v>0.8515625</v>
      </c>
      <c r="N157" s="73">
        <f t="shared" si="17"/>
        <v>218</v>
      </c>
    </row>
    <row r="158" spans="1:14" x14ac:dyDescent="0.3">
      <c r="A158">
        <v>21227</v>
      </c>
      <c r="B158" t="str">
        <f>VLOOKUP(A158,UninsuredTable[],3,0)</f>
        <v>Baltimore</v>
      </c>
      <c r="C158">
        <f>VLOOKUP(A158,UninsuredTable[],4,0)</f>
        <v>33520</v>
      </c>
      <c r="D158">
        <f>VLOOKUP(A158,UninsuredTable[],5,0)</f>
        <v>2974</v>
      </c>
      <c r="E158" s="73">
        <v>1797.2042956896166</v>
      </c>
      <c r="F158">
        <f>SUM(VLOOKUP(A158,BaseTable[[GEO.id2]:[MOE - 400% FPL and over - 65 years and over - No health insurance]],11,0),VLOOKUP(A158,BaseTable[[GEO.id2]:[MOE - 400% FPL and over - 65 years and over - No health insurance]],31,0),VLOOKUP(A158,BaseTable[[GEO.id2]:[MOE - 400% FPL and over - 65 years and over - No health insurance]],51,0))</f>
        <v>266</v>
      </c>
      <c r="G158">
        <f t="shared" si="12"/>
        <v>8.9441829186281102E-2</v>
      </c>
      <c r="H158" s="73">
        <f t="shared" si="13"/>
        <v>160.74523962792134</v>
      </c>
      <c r="I158">
        <f>SUM(VLOOKUP(A158,BaseTable[[GEO.id2]:[MOE - 400% FPL and over - 65 years and over - No health insurance]],77,0),VLOOKUP(A158,BaseTable[[GEO.id2]:[MOE - 400% FPL and over - 65 years and over - No health insurance]],71,0))</f>
        <v>455</v>
      </c>
      <c r="J158">
        <f t="shared" si="14"/>
        <v>0.15299260255548083</v>
      </c>
      <c r="K158" s="73">
        <f t="shared" si="15"/>
        <v>274.95896252144439</v>
      </c>
      <c r="L158">
        <f>SUM(VLOOKUP(A158,BaseTable[[GEO.id2]:[MOE - 400% FPL and over - 65 years and over - No health insurance]],17,0),VLOOKUP(A158,BaseTable[[GEO.id2]:[MOE - 400% FPL and over - 65 years and over - No health insurance]],57,0),VLOOKUP(A158,BaseTable[[GEO.id2]:[MOE - 400% FPL and over - 65 years and over - No health insurance]],37,0))</f>
        <v>2253</v>
      </c>
      <c r="M158">
        <f t="shared" si="16"/>
        <v>0.75756556825823806</v>
      </c>
      <c r="N158" s="73">
        <f t="shared" si="17"/>
        <v>1361.5000935402509</v>
      </c>
    </row>
    <row r="159" spans="1:14" x14ac:dyDescent="0.3">
      <c r="A159">
        <v>21228</v>
      </c>
      <c r="B159" t="str">
        <f>VLOOKUP(A159,UninsuredTable[],3,0)</f>
        <v>Baltimore</v>
      </c>
      <c r="C159">
        <f>VLOOKUP(A159,UninsuredTable[],4,0)</f>
        <v>46446</v>
      </c>
      <c r="D159">
        <f>VLOOKUP(A159,UninsuredTable[],5,0)</f>
        <v>2893</v>
      </c>
      <c r="E159" s="73">
        <v>1805.4527557193878</v>
      </c>
      <c r="F159">
        <f>SUM(VLOOKUP(A159,BaseTable[[GEO.id2]:[MOE - 400% FPL and over - 65 years and over - No health insurance]],11,0),VLOOKUP(A159,BaseTable[[GEO.id2]:[MOE - 400% FPL and over - 65 years and over - No health insurance]],31,0),VLOOKUP(A159,BaseTable[[GEO.id2]:[MOE - 400% FPL and over - 65 years and over - No health insurance]],51,0))</f>
        <v>212</v>
      </c>
      <c r="G159">
        <f t="shared" si="12"/>
        <v>7.328033183546491E-2</v>
      </c>
      <c r="H159" s="73">
        <f t="shared" si="13"/>
        <v>132.3041770523713</v>
      </c>
      <c r="I159">
        <f>SUM(VLOOKUP(A159,BaseTable[[GEO.id2]:[MOE - 400% FPL and over - 65 years and over - No health insurance]],77,0),VLOOKUP(A159,BaseTable[[GEO.id2]:[MOE - 400% FPL and over - 65 years and over - No health insurance]],71,0))</f>
        <v>686</v>
      </c>
      <c r="J159">
        <f t="shared" si="14"/>
        <v>0.23712409263740061</v>
      </c>
      <c r="K159" s="73">
        <f t="shared" si="15"/>
        <v>428.11634649965436</v>
      </c>
      <c r="L159">
        <f>SUM(VLOOKUP(A159,BaseTable[[GEO.id2]:[MOE - 400% FPL and over - 65 years and over - No health insurance]],17,0),VLOOKUP(A159,BaseTable[[GEO.id2]:[MOE - 400% FPL and over - 65 years and over - No health insurance]],57,0),VLOOKUP(A159,BaseTable[[GEO.id2]:[MOE - 400% FPL and over - 65 years and over - No health insurance]],37,0))</f>
        <v>1899</v>
      </c>
      <c r="M159">
        <f t="shared" si="16"/>
        <v>0.65641202903560314</v>
      </c>
      <c r="N159" s="73">
        <f t="shared" si="17"/>
        <v>1185.1209067096845</v>
      </c>
    </row>
    <row r="160" spans="1:14" x14ac:dyDescent="0.3">
      <c r="A160">
        <v>21229</v>
      </c>
      <c r="B160" t="str">
        <f>VLOOKUP(A160,UninsuredTable[],3,0)</f>
        <v>Baltimore City</v>
      </c>
      <c r="C160">
        <f>VLOOKUP(A160,UninsuredTable[],4,0)</f>
        <v>47534</v>
      </c>
      <c r="D160">
        <f>VLOOKUP(A160,UninsuredTable[],5,0)</f>
        <v>3435</v>
      </c>
      <c r="E160" s="73">
        <v>2637.4376530866484</v>
      </c>
      <c r="F160">
        <f>SUM(VLOOKUP(A160,BaseTable[[GEO.id2]:[MOE - 400% FPL and over - 65 years and over - No health insurance]],11,0),VLOOKUP(A160,BaseTable[[GEO.id2]:[MOE - 400% FPL and over - 65 years and over - No health insurance]],31,0),VLOOKUP(A160,BaseTable[[GEO.id2]:[MOE - 400% FPL and over - 65 years and over - No health insurance]],51,0))</f>
        <v>351</v>
      </c>
      <c r="G160">
        <f t="shared" si="12"/>
        <v>0.10218340611353711</v>
      </c>
      <c r="H160" s="73">
        <f t="shared" si="13"/>
        <v>269.50236280448723</v>
      </c>
      <c r="I160">
        <f>SUM(VLOOKUP(A160,BaseTable[[GEO.id2]:[MOE - 400% FPL and over - 65 years and over - No health insurance]],77,0),VLOOKUP(A160,BaseTable[[GEO.id2]:[MOE - 400% FPL and over - 65 years and over - No health insurance]],71,0))</f>
        <v>399</v>
      </c>
      <c r="J160">
        <f t="shared" si="14"/>
        <v>0.11615720524017467</v>
      </c>
      <c r="K160" s="73">
        <f t="shared" si="15"/>
        <v>306.35738677775043</v>
      </c>
      <c r="L160">
        <f>SUM(VLOOKUP(A160,BaseTable[[GEO.id2]:[MOE - 400% FPL and over - 65 years and over - No health insurance]],17,0),VLOOKUP(A160,BaseTable[[GEO.id2]:[MOE - 400% FPL and over - 65 years and over - No health insurance]],57,0),VLOOKUP(A160,BaseTable[[GEO.id2]:[MOE - 400% FPL and over - 65 years and over - No health insurance]],37,0))</f>
        <v>2685</v>
      </c>
      <c r="M160">
        <f t="shared" si="16"/>
        <v>0.78165938864628826</v>
      </c>
      <c r="N160" s="73">
        <f t="shared" si="17"/>
        <v>2061.5779035044111</v>
      </c>
    </row>
    <row r="161" spans="1:14" x14ac:dyDescent="0.3">
      <c r="A161">
        <v>21230</v>
      </c>
      <c r="B161" t="str">
        <f>VLOOKUP(A161,UninsuredTable[],3,0)</f>
        <v>Baltimore City</v>
      </c>
      <c r="C161">
        <f>VLOOKUP(A161,UninsuredTable[],4,0)</f>
        <v>34474</v>
      </c>
      <c r="D161">
        <f>VLOOKUP(A161,UninsuredTable[],5,0)</f>
        <v>2219</v>
      </c>
      <c r="E161" s="73">
        <v>1424.4311328891133</v>
      </c>
      <c r="F161">
        <f>SUM(VLOOKUP(A161,BaseTable[[GEO.id2]:[MOE - 400% FPL and over - 65 years and over - No health insurance]],11,0),VLOOKUP(A161,BaseTable[[GEO.id2]:[MOE - 400% FPL and over - 65 years and over - No health insurance]],31,0),VLOOKUP(A161,BaseTable[[GEO.id2]:[MOE - 400% FPL and over - 65 years and over - No health insurance]],51,0))</f>
        <v>112</v>
      </c>
      <c r="G161">
        <f t="shared" si="12"/>
        <v>5.0473186119873815E-2</v>
      </c>
      <c r="H161" s="73">
        <f t="shared" si="13"/>
        <v>71.895577685254935</v>
      </c>
      <c r="I161">
        <f>SUM(VLOOKUP(A161,BaseTable[[GEO.id2]:[MOE - 400% FPL and over - 65 years and over - No health insurance]],77,0),VLOOKUP(A161,BaseTable[[GEO.id2]:[MOE - 400% FPL and over - 65 years and over - No health insurance]],71,0))</f>
        <v>396</v>
      </c>
      <c r="J161">
        <f t="shared" si="14"/>
        <v>0.17845876520955387</v>
      </c>
      <c r="K161" s="73">
        <f t="shared" si="15"/>
        <v>254.20222110143709</v>
      </c>
      <c r="L161">
        <f>SUM(VLOOKUP(A161,BaseTable[[GEO.id2]:[MOE - 400% FPL and over - 65 years and over - No health insurance]],17,0),VLOOKUP(A161,BaseTable[[GEO.id2]:[MOE - 400% FPL and over - 65 years and over - No health insurance]],57,0),VLOOKUP(A161,BaseTable[[GEO.id2]:[MOE - 400% FPL and over - 65 years and over - No health insurance]],37,0))</f>
        <v>1711</v>
      </c>
      <c r="M161">
        <f t="shared" si="16"/>
        <v>0.77106804867057233</v>
      </c>
      <c r="N161" s="73">
        <f t="shared" si="17"/>
        <v>1098.3333341024213</v>
      </c>
    </row>
    <row r="162" spans="1:14" x14ac:dyDescent="0.3">
      <c r="A162">
        <v>21231</v>
      </c>
      <c r="B162" t="str">
        <f>VLOOKUP(A162,UninsuredTable[],3,0)</f>
        <v>Baltimore City</v>
      </c>
      <c r="C162">
        <f>VLOOKUP(A162,UninsuredTable[],4,0)</f>
        <v>16622</v>
      </c>
      <c r="D162">
        <f>VLOOKUP(A162,UninsuredTable[],5,0)</f>
        <v>1326</v>
      </c>
      <c r="E162" s="73">
        <v>871.66542685381</v>
      </c>
      <c r="F162">
        <f>SUM(VLOOKUP(A162,BaseTable[[GEO.id2]:[MOE - 400% FPL and over - 65 years and over - No health insurance]],11,0),VLOOKUP(A162,BaseTable[[GEO.id2]:[MOE - 400% FPL and over - 65 years and over - No health insurance]],31,0),VLOOKUP(A162,BaseTable[[GEO.id2]:[MOE - 400% FPL and over - 65 years and over - No health insurance]],51,0))</f>
        <v>226</v>
      </c>
      <c r="G162">
        <f t="shared" si="12"/>
        <v>0.17043740573152338</v>
      </c>
      <c r="H162" s="73">
        <f t="shared" si="13"/>
        <v>148.56439401882434</v>
      </c>
      <c r="I162">
        <f>SUM(VLOOKUP(A162,BaseTable[[GEO.id2]:[MOE - 400% FPL and over - 65 years and over - No health insurance]],77,0),VLOOKUP(A162,BaseTable[[GEO.id2]:[MOE - 400% FPL and over - 65 years and over - No health insurance]],71,0))</f>
        <v>284</v>
      </c>
      <c r="J162">
        <f t="shared" si="14"/>
        <v>0.21417797888386123</v>
      </c>
      <c r="K162" s="73">
        <f t="shared" si="15"/>
        <v>186.69153938648719</v>
      </c>
      <c r="L162">
        <f>SUM(VLOOKUP(A162,BaseTable[[GEO.id2]:[MOE - 400% FPL and over - 65 years and over - No health insurance]],17,0),VLOOKUP(A162,BaseTable[[GEO.id2]:[MOE - 400% FPL and over - 65 years and over - No health insurance]],57,0),VLOOKUP(A162,BaseTable[[GEO.id2]:[MOE - 400% FPL and over - 65 years and over - No health insurance]],37,0))</f>
        <v>816</v>
      </c>
      <c r="M162">
        <f t="shared" si="16"/>
        <v>0.61538461538461542</v>
      </c>
      <c r="N162" s="73">
        <f t="shared" si="17"/>
        <v>536.40949344849844</v>
      </c>
    </row>
    <row r="163" spans="1:14" x14ac:dyDescent="0.3">
      <c r="A163">
        <v>21234</v>
      </c>
      <c r="B163" t="str">
        <f>VLOOKUP(A163,UninsuredTable[],3,0)</f>
        <v>Baltimore</v>
      </c>
      <c r="C163">
        <f>VLOOKUP(A163,UninsuredTable[],4,0)</f>
        <v>69095</v>
      </c>
      <c r="D163">
        <f>VLOOKUP(A163,UninsuredTable[],5,0)</f>
        <v>4335</v>
      </c>
      <c r="E163" s="73">
        <v>2983.1265669620329</v>
      </c>
      <c r="F163">
        <f>SUM(VLOOKUP(A163,BaseTable[[GEO.id2]:[MOE - 400% FPL and over - 65 years and over - No health insurance]],11,0),VLOOKUP(A163,BaseTable[[GEO.id2]:[MOE - 400% FPL and over - 65 years and over - No health insurance]],31,0),VLOOKUP(A163,BaseTable[[GEO.id2]:[MOE - 400% FPL and over - 65 years and over - No health insurance]],51,0))</f>
        <v>311</v>
      </c>
      <c r="G163">
        <f t="shared" si="12"/>
        <v>7.1741637831603228E-2</v>
      </c>
      <c r="H163" s="73">
        <f t="shared" si="13"/>
        <v>214.01438577282403</v>
      </c>
      <c r="I163">
        <f>SUM(VLOOKUP(A163,BaseTable[[GEO.id2]:[MOE - 400% FPL and over - 65 years and over - No health insurance]],77,0),VLOOKUP(A163,BaseTable[[GEO.id2]:[MOE - 400% FPL and over - 65 years and over - No health insurance]],71,0))</f>
        <v>871</v>
      </c>
      <c r="J163">
        <f t="shared" si="14"/>
        <v>0.20092272202998845</v>
      </c>
      <c r="K163" s="73">
        <f t="shared" si="15"/>
        <v>599.37790999398624</v>
      </c>
      <c r="L163">
        <f>SUM(VLOOKUP(A163,BaseTable[[GEO.id2]:[MOE - 400% FPL and over - 65 years and over - No health insurance]],17,0),VLOOKUP(A163,BaseTable[[GEO.id2]:[MOE - 400% FPL and over - 65 years and over - No health insurance]],57,0),VLOOKUP(A163,BaseTable[[GEO.id2]:[MOE - 400% FPL and over - 65 years and over - No health insurance]],37,0))</f>
        <v>3045</v>
      </c>
      <c r="M163">
        <f t="shared" si="16"/>
        <v>0.70242214532871972</v>
      </c>
      <c r="N163" s="73">
        <f t="shared" si="17"/>
        <v>2095.4141629525698</v>
      </c>
    </row>
    <row r="164" spans="1:14" x14ac:dyDescent="0.3">
      <c r="A164">
        <v>21236</v>
      </c>
      <c r="B164" t="str">
        <f>VLOOKUP(A164,UninsuredTable[],3,0)</f>
        <v>Baltimore</v>
      </c>
      <c r="C164">
        <f>VLOOKUP(A164,UninsuredTable[],4,0)</f>
        <v>39135</v>
      </c>
      <c r="D164">
        <f>VLOOKUP(A164,UninsuredTable[],5,0)</f>
        <v>1902</v>
      </c>
      <c r="E164" s="73">
        <v>1227.0426872975615</v>
      </c>
      <c r="F164">
        <f>SUM(VLOOKUP(A164,BaseTable[[GEO.id2]:[MOE - 400% FPL and over - 65 years and over - No health insurance]],11,0),VLOOKUP(A164,BaseTable[[GEO.id2]:[MOE - 400% FPL and over - 65 years and over - No health insurance]],31,0),VLOOKUP(A164,BaseTable[[GEO.id2]:[MOE - 400% FPL and over - 65 years and over - No health insurance]],51,0))</f>
        <v>178</v>
      </c>
      <c r="G164">
        <f t="shared" si="12"/>
        <v>9.3585699263932703E-2</v>
      </c>
      <c r="H164" s="73">
        <f t="shared" si="13"/>
        <v>114.83364791743742</v>
      </c>
      <c r="I164">
        <f>SUM(VLOOKUP(A164,BaseTable[[GEO.id2]:[MOE - 400% FPL and over - 65 years and over - No health insurance]],77,0),VLOOKUP(A164,BaseTable[[GEO.id2]:[MOE - 400% FPL and over - 65 years and over - No health insurance]],71,0))</f>
        <v>522</v>
      </c>
      <c r="J164">
        <f t="shared" si="14"/>
        <v>0.27444794952681389</v>
      </c>
      <c r="K164" s="73">
        <f t="shared" si="15"/>
        <v>336.75934951068723</v>
      </c>
      <c r="L164">
        <f>SUM(VLOOKUP(A164,BaseTable[[GEO.id2]:[MOE - 400% FPL and over - 65 years and over - No health insurance]],17,0),VLOOKUP(A164,BaseTable[[GEO.id2]:[MOE - 400% FPL and over - 65 years and over - No health insurance]],57,0),VLOOKUP(A164,BaseTable[[GEO.id2]:[MOE - 400% FPL and over - 65 years and over - No health insurance]],37,0))</f>
        <v>1106</v>
      </c>
      <c r="M164">
        <f t="shared" si="16"/>
        <v>0.58149316508937965</v>
      </c>
      <c r="N164" s="73">
        <f t="shared" si="17"/>
        <v>713.51693593643699</v>
      </c>
    </row>
    <row r="165" spans="1:14" x14ac:dyDescent="0.3">
      <c r="A165">
        <v>21237</v>
      </c>
      <c r="B165" t="str">
        <f>VLOOKUP(A165,UninsuredTable[],3,0)</f>
        <v>Baltimore</v>
      </c>
      <c r="C165">
        <f>VLOOKUP(A165,UninsuredTable[],4,0)</f>
        <v>29865</v>
      </c>
      <c r="D165">
        <f>VLOOKUP(A165,UninsuredTable[],5,0)</f>
        <v>3175</v>
      </c>
      <c r="E165" s="73">
        <v>1823.8382203936651</v>
      </c>
      <c r="F165">
        <f>SUM(VLOOKUP(A165,BaseTable[[GEO.id2]:[MOE - 400% FPL and over - 65 years and over - No health insurance]],11,0),VLOOKUP(A165,BaseTable[[GEO.id2]:[MOE - 400% FPL and over - 65 years and over - No health insurance]],31,0),VLOOKUP(A165,BaseTable[[GEO.id2]:[MOE - 400% FPL and over - 65 years and over - No health insurance]],51,0))</f>
        <v>738</v>
      </c>
      <c r="G165">
        <f t="shared" si="12"/>
        <v>0.23244094488188977</v>
      </c>
      <c r="H165" s="73">
        <f t="shared" si="13"/>
        <v>423.93467926000784</v>
      </c>
      <c r="I165">
        <f>SUM(VLOOKUP(A165,BaseTable[[GEO.id2]:[MOE - 400% FPL and over - 65 years and over - No health insurance]],77,0),VLOOKUP(A165,BaseTable[[GEO.id2]:[MOE - 400% FPL and over - 65 years and over - No health insurance]],71,0))</f>
        <v>514</v>
      </c>
      <c r="J165">
        <f t="shared" si="14"/>
        <v>0.16188976377952755</v>
      </c>
      <c r="K165" s="73">
        <f t="shared" si="15"/>
        <v>295.26073867160432</v>
      </c>
      <c r="L165">
        <f>SUM(VLOOKUP(A165,BaseTable[[GEO.id2]:[MOE - 400% FPL and over - 65 years and over - No health insurance]],17,0),VLOOKUP(A165,BaseTable[[GEO.id2]:[MOE - 400% FPL and over - 65 years and over - No health insurance]],57,0),VLOOKUP(A165,BaseTable[[GEO.id2]:[MOE - 400% FPL and over - 65 years and over - No health insurance]],37,0))</f>
        <v>1850</v>
      </c>
      <c r="M165">
        <f t="shared" si="16"/>
        <v>0.58267716535433067</v>
      </c>
      <c r="N165" s="73">
        <f t="shared" si="17"/>
        <v>1062.7088843238678</v>
      </c>
    </row>
    <row r="166" spans="1:14" x14ac:dyDescent="0.3">
      <c r="A166">
        <v>21239</v>
      </c>
      <c r="B166" t="str">
        <f>VLOOKUP(A166,UninsuredTable[],3,0)</f>
        <v>Baltimore City</v>
      </c>
      <c r="C166">
        <f>VLOOKUP(A166,UninsuredTable[],4,0)</f>
        <v>30478</v>
      </c>
      <c r="D166">
        <f>VLOOKUP(A166,UninsuredTable[],5,0)</f>
        <v>1925</v>
      </c>
      <c r="E166" s="73">
        <v>1224.0544308083488</v>
      </c>
      <c r="F166">
        <f>SUM(VLOOKUP(A166,BaseTable[[GEO.id2]:[MOE - 400% FPL and over - 65 years and over - No health insurance]],11,0),VLOOKUP(A166,BaseTable[[GEO.id2]:[MOE - 400% FPL and over - 65 years and over - No health insurance]],31,0),VLOOKUP(A166,BaseTable[[GEO.id2]:[MOE - 400% FPL and over - 65 years and over - No health insurance]],51,0))</f>
        <v>84</v>
      </c>
      <c r="G166">
        <f t="shared" si="12"/>
        <v>4.363636363636364E-2</v>
      </c>
      <c r="H166" s="73">
        <f t="shared" si="13"/>
        <v>53.413284253455224</v>
      </c>
      <c r="I166">
        <f>SUM(VLOOKUP(A166,BaseTable[[GEO.id2]:[MOE - 400% FPL and over - 65 years and over - No health insurance]],77,0),VLOOKUP(A166,BaseTable[[GEO.id2]:[MOE - 400% FPL and over - 65 years and over - No health insurance]],71,0))</f>
        <v>292</v>
      </c>
      <c r="J166">
        <f t="shared" si="14"/>
        <v>0.15168831168831168</v>
      </c>
      <c r="K166" s="73">
        <f t="shared" si="15"/>
        <v>185.67475002391575</v>
      </c>
      <c r="L166">
        <f>SUM(VLOOKUP(A166,BaseTable[[GEO.id2]:[MOE - 400% FPL and over - 65 years and over - No health insurance]],17,0),VLOOKUP(A166,BaseTable[[GEO.id2]:[MOE - 400% FPL and over - 65 years and over - No health insurance]],57,0),VLOOKUP(A166,BaseTable[[GEO.id2]:[MOE - 400% FPL and over - 65 years and over - No health insurance]],37,0))</f>
        <v>1488</v>
      </c>
      <c r="M166">
        <f t="shared" si="16"/>
        <v>0.772987012987013</v>
      </c>
      <c r="N166" s="73">
        <f t="shared" si="17"/>
        <v>946.1781782040639</v>
      </c>
    </row>
    <row r="167" spans="1:14" x14ac:dyDescent="0.3">
      <c r="A167">
        <v>21244</v>
      </c>
      <c r="B167" t="str">
        <f>VLOOKUP(A167,UninsuredTable[],3,0)</f>
        <v>Baltimore</v>
      </c>
      <c r="C167">
        <f>VLOOKUP(A167,UninsuredTable[],4,0)</f>
        <v>35922</v>
      </c>
      <c r="D167">
        <f>VLOOKUP(A167,UninsuredTable[],5,0)</f>
        <v>3244</v>
      </c>
      <c r="E167" s="73">
        <v>1909.1058806994233</v>
      </c>
      <c r="F167">
        <f>SUM(VLOOKUP(A167,BaseTable[[GEO.id2]:[MOE - 400% FPL and over - 65 years and over - No health insurance]],11,0),VLOOKUP(A167,BaseTable[[GEO.id2]:[MOE - 400% FPL and over - 65 years and over - No health insurance]],31,0),VLOOKUP(A167,BaseTable[[GEO.id2]:[MOE - 400% FPL and over - 65 years and over - No health insurance]],51,0))</f>
        <v>566</v>
      </c>
      <c r="G167">
        <f t="shared" si="12"/>
        <v>0.17447595561035759</v>
      </c>
      <c r="H167" s="73">
        <f t="shared" si="13"/>
        <v>333.09307289638519</v>
      </c>
      <c r="I167">
        <f>SUM(VLOOKUP(A167,BaseTable[[GEO.id2]:[MOE - 400% FPL and over - 65 years and over - No health insurance]],77,0),VLOOKUP(A167,BaseTable[[GEO.id2]:[MOE - 400% FPL and over - 65 years and over - No health insurance]],71,0))</f>
        <v>384</v>
      </c>
      <c r="J167">
        <f t="shared" si="14"/>
        <v>0.11837237977805179</v>
      </c>
      <c r="K167" s="73">
        <f t="shared" si="15"/>
        <v>225.98540634666418</v>
      </c>
      <c r="L167">
        <f>SUM(VLOOKUP(A167,BaseTable[[GEO.id2]:[MOE - 400% FPL and over - 65 years and over - No health insurance]],17,0),VLOOKUP(A167,BaseTable[[GEO.id2]:[MOE - 400% FPL and over - 65 years and over - No health insurance]],57,0),VLOOKUP(A167,BaseTable[[GEO.id2]:[MOE - 400% FPL and over - 65 years and over - No health insurance]],37,0))</f>
        <v>2220</v>
      </c>
      <c r="M167">
        <f t="shared" si="16"/>
        <v>0.68434032059186189</v>
      </c>
      <c r="N167" s="73">
        <f t="shared" si="17"/>
        <v>1306.4781304416522</v>
      </c>
    </row>
    <row r="168" spans="1:14" x14ac:dyDescent="0.3">
      <c r="A168">
        <v>21286</v>
      </c>
      <c r="B168" t="str">
        <f>VLOOKUP(A168,UninsuredTable[],3,0)</f>
        <v>Baltimore</v>
      </c>
      <c r="C168">
        <f>VLOOKUP(A168,UninsuredTable[],4,0)</f>
        <v>18285</v>
      </c>
      <c r="D168">
        <f>VLOOKUP(A168,UninsuredTable[],5,0)</f>
        <v>661</v>
      </c>
      <c r="E168" s="73">
        <v>580</v>
      </c>
      <c r="F168">
        <f>SUM(VLOOKUP(A168,BaseTable[[GEO.id2]:[MOE - 400% FPL and over - 65 years and over - No health insurance]],11,0),VLOOKUP(A168,BaseTable[[GEO.id2]:[MOE - 400% FPL and over - 65 years and over - No health insurance]],31,0),VLOOKUP(A168,BaseTable[[GEO.id2]:[MOE - 400% FPL and over - 65 years and over - No health insurance]],51,0))</f>
        <v>45</v>
      </c>
      <c r="G168">
        <f t="shared" si="12"/>
        <v>6.8078668683812404E-2</v>
      </c>
      <c r="H168" s="73">
        <f t="shared" si="13"/>
        <v>39.485627836611194</v>
      </c>
      <c r="I168">
        <f>SUM(VLOOKUP(A168,BaseTable[[GEO.id2]:[MOE - 400% FPL and over - 65 years and over - No health insurance]],77,0),VLOOKUP(A168,BaseTable[[GEO.id2]:[MOE - 400% FPL and over - 65 years and over - No health insurance]],71,0))</f>
        <v>108</v>
      </c>
      <c r="J168">
        <f t="shared" si="14"/>
        <v>0.16338880484114976</v>
      </c>
      <c r="K168" s="73">
        <f t="shared" si="15"/>
        <v>94.765506807866856</v>
      </c>
      <c r="L168">
        <f>SUM(VLOOKUP(A168,BaseTable[[GEO.id2]:[MOE - 400% FPL and over - 65 years and over - No health insurance]],17,0),VLOOKUP(A168,BaseTable[[GEO.id2]:[MOE - 400% FPL and over - 65 years and over - No health insurance]],57,0),VLOOKUP(A168,BaseTable[[GEO.id2]:[MOE - 400% FPL and over - 65 years and over - No health insurance]],37,0))</f>
        <v>427</v>
      </c>
      <c r="M168">
        <f t="shared" si="16"/>
        <v>0.64599092284417547</v>
      </c>
      <c r="N168" s="73">
        <f t="shared" si="17"/>
        <v>374.67473524962179</v>
      </c>
    </row>
    <row r="169" spans="1:14" x14ac:dyDescent="0.3">
      <c r="A169">
        <v>21401</v>
      </c>
      <c r="B169" t="str">
        <f>VLOOKUP(A169,UninsuredTable[],3,0)</f>
        <v>Anne Arundel</v>
      </c>
      <c r="C169">
        <f>VLOOKUP(A169,UninsuredTable[],4,0)</f>
        <v>34880</v>
      </c>
      <c r="D169">
        <f>VLOOKUP(A169,UninsuredTable[],5,0)</f>
        <v>1856</v>
      </c>
      <c r="E169" s="73">
        <v>965.26822761277481</v>
      </c>
      <c r="F169">
        <f>SUM(VLOOKUP(A169,BaseTable[[GEO.id2]:[MOE - 400% FPL and over - 65 years and over - No health insurance]],11,0),VLOOKUP(A169,BaseTable[[GEO.id2]:[MOE - 400% FPL and over - 65 years and over - No health insurance]],31,0),VLOOKUP(A169,BaseTable[[GEO.id2]:[MOE - 400% FPL and over - 65 years and over - No health insurance]],51,0))</f>
        <v>18</v>
      </c>
      <c r="G169">
        <f t="shared" si="12"/>
        <v>9.6982758620689658E-3</v>
      </c>
      <c r="H169" s="73">
        <f t="shared" si="13"/>
        <v>9.3614375522790656</v>
      </c>
      <c r="I169">
        <f>SUM(VLOOKUP(A169,BaseTable[[GEO.id2]:[MOE - 400% FPL and over - 65 years and over - No health insurance]],77,0),VLOOKUP(A169,BaseTable[[GEO.id2]:[MOE - 400% FPL and over - 65 years and over - No health insurance]],71,0))</f>
        <v>251</v>
      </c>
      <c r="J169">
        <f t="shared" si="14"/>
        <v>0.13523706896551724</v>
      </c>
      <c r="K169" s="73">
        <f t="shared" si="15"/>
        <v>130.54004586789142</v>
      </c>
      <c r="L169">
        <f>SUM(VLOOKUP(A169,BaseTable[[GEO.id2]:[MOE - 400% FPL and over - 65 years and over - No health insurance]],17,0),VLOOKUP(A169,BaseTable[[GEO.id2]:[MOE - 400% FPL and over - 65 years and over - No health insurance]],57,0),VLOOKUP(A169,BaseTable[[GEO.id2]:[MOE - 400% FPL and over - 65 years and over - No health insurance]],37,0))</f>
        <v>1583</v>
      </c>
      <c r="M169">
        <f t="shared" si="16"/>
        <v>0.85290948275862066</v>
      </c>
      <c r="N169" s="73">
        <f t="shared" si="17"/>
        <v>823.28642473654224</v>
      </c>
    </row>
    <row r="170" spans="1:14" x14ac:dyDescent="0.3">
      <c r="A170">
        <v>21403</v>
      </c>
      <c r="B170" t="str">
        <f>VLOOKUP(A170,UninsuredTable[],3,0)</f>
        <v>Anne Arundel</v>
      </c>
      <c r="C170">
        <f>VLOOKUP(A170,UninsuredTable[],4,0)</f>
        <v>30502</v>
      </c>
      <c r="D170">
        <f>VLOOKUP(A170,UninsuredTable[],5,0)</f>
        <v>3008</v>
      </c>
      <c r="E170" s="73">
        <v>1312.9487570993235</v>
      </c>
      <c r="F170">
        <f>SUM(VLOOKUP(A170,BaseTable[[GEO.id2]:[MOE - 400% FPL and over - 65 years and over - No health insurance]],11,0),VLOOKUP(A170,BaseTable[[GEO.id2]:[MOE - 400% FPL and over - 65 years and over - No health insurance]],31,0),VLOOKUP(A170,BaseTable[[GEO.id2]:[MOE - 400% FPL and over - 65 years and over - No health insurance]],51,0))</f>
        <v>257</v>
      </c>
      <c r="G170">
        <f t="shared" si="12"/>
        <v>8.5438829787234036E-2</v>
      </c>
      <c r="H170" s="73">
        <f t="shared" si="13"/>
        <v>112.17680537716959</v>
      </c>
      <c r="I170">
        <f>SUM(VLOOKUP(A170,BaseTable[[GEO.id2]:[MOE - 400% FPL and over - 65 years and over - No health insurance]],77,0),VLOOKUP(A170,BaseTable[[GEO.id2]:[MOE - 400% FPL and over - 65 years and over - No health insurance]],71,0))</f>
        <v>620</v>
      </c>
      <c r="J170">
        <f t="shared" si="14"/>
        <v>0.20611702127659576</v>
      </c>
      <c r="K170" s="73">
        <f t="shared" si="15"/>
        <v>270.62108690212125</v>
      </c>
      <c r="L170">
        <f>SUM(VLOOKUP(A170,BaseTable[[GEO.id2]:[MOE - 400% FPL and over - 65 years and over - No health insurance]],17,0),VLOOKUP(A170,BaseTable[[GEO.id2]:[MOE - 400% FPL and over - 65 years and over - No health insurance]],57,0),VLOOKUP(A170,BaseTable[[GEO.id2]:[MOE - 400% FPL and over - 65 years and over - No health insurance]],37,0))</f>
        <v>2048</v>
      </c>
      <c r="M170">
        <f t="shared" si="16"/>
        <v>0.68085106382978722</v>
      </c>
      <c r="N170" s="73">
        <f t="shared" si="17"/>
        <v>893.92255802507134</v>
      </c>
    </row>
    <row r="171" spans="1:14" x14ac:dyDescent="0.3">
      <c r="A171">
        <v>21409</v>
      </c>
      <c r="B171" t="str">
        <f>VLOOKUP(A171,UninsuredTable[],3,0)</f>
        <v>Anne Arundel</v>
      </c>
      <c r="C171">
        <f>VLOOKUP(A171,UninsuredTable[],4,0)</f>
        <v>20255</v>
      </c>
      <c r="D171">
        <f>VLOOKUP(A171,UninsuredTable[],5,0)</f>
        <v>728</v>
      </c>
      <c r="E171" s="73">
        <v>728</v>
      </c>
      <c r="F171">
        <f>SUM(VLOOKUP(A171,BaseTable[[GEO.id2]:[MOE - 400% FPL and over - 65 years and over - No health insurance]],11,0),VLOOKUP(A171,BaseTable[[GEO.id2]:[MOE - 400% FPL and over - 65 years and over - No health insurance]],31,0),VLOOKUP(A171,BaseTable[[GEO.id2]:[MOE - 400% FPL and over - 65 years and over - No health insurance]],51,0))</f>
        <v>40</v>
      </c>
      <c r="G171">
        <f t="shared" si="12"/>
        <v>5.4945054945054944E-2</v>
      </c>
      <c r="H171" s="73">
        <f t="shared" si="13"/>
        <v>40</v>
      </c>
      <c r="I171">
        <f>SUM(VLOOKUP(A171,BaseTable[[GEO.id2]:[MOE - 400% FPL and over - 65 years and over - No health insurance]],77,0),VLOOKUP(A171,BaseTable[[GEO.id2]:[MOE - 400% FPL and over - 65 years and over - No health insurance]],71,0))</f>
        <v>232</v>
      </c>
      <c r="J171">
        <f t="shared" si="14"/>
        <v>0.31868131868131866</v>
      </c>
      <c r="K171" s="73">
        <f t="shared" si="15"/>
        <v>231.99999999999997</v>
      </c>
      <c r="L171">
        <f>SUM(VLOOKUP(A171,BaseTable[[GEO.id2]:[MOE - 400% FPL and over - 65 years and over - No health insurance]],17,0),VLOOKUP(A171,BaseTable[[GEO.id2]:[MOE - 400% FPL and over - 65 years and over - No health insurance]],57,0),VLOOKUP(A171,BaseTable[[GEO.id2]:[MOE - 400% FPL and over - 65 years and over - No health insurance]],37,0))</f>
        <v>456</v>
      </c>
      <c r="M171">
        <f t="shared" si="16"/>
        <v>0.62637362637362637</v>
      </c>
      <c r="N171" s="73">
        <f t="shared" si="17"/>
        <v>456</v>
      </c>
    </row>
    <row r="172" spans="1:14" x14ac:dyDescent="0.3">
      <c r="A172">
        <v>21502</v>
      </c>
      <c r="B172" t="str">
        <f>VLOOKUP(A172,UninsuredTable[],3,0)</f>
        <v>Allegany</v>
      </c>
      <c r="C172">
        <f>VLOOKUP(A172,UninsuredTable[],4,0)</f>
        <v>37545</v>
      </c>
      <c r="D172">
        <f>VLOOKUP(A172,UninsuredTable[],5,0)</f>
        <v>2454</v>
      </c>
      <c r="E172" s="73">
        <v>1921.1077359466938</v>
      </c>
      <c r="F172">
        <f>SUM(VLOOKUP(A172,BaseTable[[GEO.id2]:[MOE - 400% FPL and over - 65 years and over - No health insurance]],11,0),VLOOKUP(A172,BaseTable[[GEO.id2]:[MOE - 400% FPL and over - 65 years and over - No health insurance]],31,0),VLOOKUP(A172,BaseTable[[GEO.id2]:[MOE - 400% FPL and over - 65 years and over - No health insurance]],51,0))</f>
        <v>209</v>
      </c>
      <c r="G172">
        <f t="shared" si="12"/>
        <v>8.5167074164629181E-2</v>
      </c>
      <c r="H172" s="73">
        <f t="shared" si="13"/>
        <v>163.61512502561493</v>
      </c>
      <c r="I172">
        <f>SUM(VLOOKUP(A172,BaseTable[[GEO.id2]:[MOE - 400% FPL and over - 65 years and over - No health insurance]],77,0),VLOOKUP(A172,BaseTable[[GEO.id2]:[MOE - 400% FPL and over - 65 years and over - No health insurance]],71,0))</f>
        <v>362</v>
      </c>
      <c r="J172">
        <f t="shared" si="14"/>
        <v>0.14751426242868787</v>
      </c>
      <c r="K172" s="73">
        <f t="shared" si="15"/>
        <v>283.39079071422299</v>
      </c>
      <c r="L172">
        <f>SUM(VLOOKUP(A172,BaseTable[[GEO.id2]:[MOE - 400% FPL and over - 65 years and over - No health insurance]],17,0),VLOOKUP(A172,BaseTable[[GEO.id2]:[MOE - 400% FPL and over - 65 years and over - No health insurance]],57,0),VLOOKUP(A172,BaseTable[[GEO.id2]:[MOE - 400% FPL and over - 65 years and over - No health insurance]],37,0))</f>
        <v>1883</v>
      </c>
      <c r="M172">
        <f t="shared" si="16"/>
        <v>0.76731866340668298</v>
      </c>
      <c r="N172" s="73">
        <f t="shared" si="17"/>
        <v>1474.101820206856</v>
      </c>
    </row>
    <row r="173" spans="1:14" x14ac:dyDescent="0.3">
      <c r="A173">
        <v>21532</v>
      </c>
      <c r="B173" t="str">
        <f>VLOOKUP(A173,UninsuredTable[],3,0)</f>
        <v>Allegany</v>
      </c>
      <c r="C173">
        <f>VLOOKUP(A173,UninsuredTable[],4,0)</f>
        <v>13180</v>
      </c>
      <c r="D173">
        <f>VLOOKUP(A173,UninsuredTable[],5,0)</f>
        <v>565</v>
      </c>
      <c r="E173" s="73">
        <v>565</v>
      </c>
      <c r="F173">
        <f>SUM(VLOOKUP(A173,BaseTable[[GEO.id2]:[MOE - 400% FPL and over - 65 years and over - No health insurance]],11,0),VLOOKUP(A173,BaseTable[[GEO.id2]:[MOE - 400% FPL and over - 65 years and over - No health insurance]],31,0),VLOOKUP(A173,BaseTable[[GEO.id2]:[MOE - 400% FPL and over - 65 years and over - No health insurance]],51,0))</f>
        <v>147</v>
      </c>
      <c r="G173">
        <f t="shared" si="12"/>
        <v>0.26017699115044246</v>
      </c>
      <c r="H173" s="73">
        <f t="shared" si="13"/>
        <v>147</v>
      </c>
      <c r="I173">
        <f>SUM(VLOOKUP(A173,BaseTable[[GEO.id2]:[MOE - 400% FPL and over - 65 years and over - No health insurance]],77,0),VLOOKUP(A173,BaseTable[[GEO.id2]:[MOE - 400% FPL and over - 65 years and over - No health insurance]],71,0))</f>
        <v>4</v>
      </c>
      <c r="J173">
        <f t="shared" si="14"/>
        <v>7.0796460176991149E-3</v>
      </c>
      <c r="K173" s="73">
        <f t="shared" si="15"/>
        <v>4</v>
      </c>
      <c r="L173">
        <f>SUM(VLOOKUP(A173,BaseTable[[GEO.id2]:[MOE - 400% FPL and over - 65 years and over - No health insurance]],17,0),VLOOKUP(A173,BaseTable[[GEO.id2]:[MOE - 400% FPL and over - 65 years and over - No health insurance]],57,0),VLOOKUP(A173,BaseTable[[GEO.id2]:[MOE - 400% FPL and over - 65 years and over - No health insurance]],37,0))</f>
        <v>414</v>
      </c>
      <c r="M173">
        <f t="shared" si="16"/>
        <v>0.73274336283185837</v>
      </c>
      <c r="N173" s="73">
        <f t="shared" si="17"/>
        <v>414</v>
      </c>
    </row>
    <row r="174" spans="1:14" x14ac:dyDescent="0.3">
      <c r="A174">
        <v>21536</v>
      </c>
      <c r="B174" t="str">
        <f>VLOOKUP(A174,UninsuredTable[],3,0)</f>
        <v>Garrett</v>
      </c>
      <c r="C174">
        <f>VLOOKUP(A174,UninsuredTable[],4,0)</f>
        <v>3882</v>
      </c>
      <c r="D174">
        <f>VLOOKUP(A174,UninsuredTable[],5,0)</f>
        <v>345</v>
      </c>
      <c r="E174" s="73">
        <v>345</v>
      </c>
      <c r="F174">
        <f>SUM(VLOOKUP(A174,BaseTable[[GEO.id2]:[MOE - 400% FPL and over - 65 years and over - No health insurance]],11,0),VLOOKUP(A174,BaseTable[[GEO.id2]:[MOE - 400% FPL and over - 65 years and over - No health insurance]],31,0),VLOOKUP(A174,BaseTable[[GEO.id2]:[MOE - 400% FPL and over - 65 years and over - No health insurance]],51,0))</f>
        <v>49</v>
      </c>
      <c r="G174">
        <f t="shared" si="12"/>
        <v>0.14202898550724638</v>
      </c>
      <c r="H174" s="73">
        <f t="shared" si="13"/>
        <v>49</v>
      </c>
      <c r="I174">
        <f>SUM(VLOOKUP(A174,BaseTable[[GEO.id2]:[MOE - 400% FPL and over - 65 years and over - No health insurance]],77,0),VLOOKUP(A174,BaseTable[[GEO.id2]:[MOE - 400% FPL and over - 65 years and over - No health insurance]],71,0))</f>
        <v>81</v>
      </c>
      <c r="J174">
        <f t="shared" si="14"/>
        <v>0.23478260869565218</v>
      </c>
      <c r="K174" s="73">
        <f t="shared" si="15"/>
        <v>81</v>
      </c>
      <c r="L174">
        <f>SUM(VLOOKUP(A174,BaseTable[[GEO.id2]:[MOE - 400% FPL and over - 65 years and over - No health insurance]],17,0),VLOOKUP(A174,BaseTable[[GEO.id2]:[MOE - 400% FPL and over - 65 years and over - No health insurance]],57,0),VLOOKUP(A174,BaseTable[[GEO.id2]:[MOE - 400% FPL and over - 65 years and over - No health insurance]],37,0))</f>
        <v>215</v>
      </c>
      <c r="M174">
        <f t="shared" si="16"/>
        <v>0.62318840579710144</v>
      </c>
      <c r="N174" s="73">
        <f t="shared" si="17"/>
        <v>215</v>
      </c>
    </row>
    <row r="175" spans="1:14" x14ac:dyDescent="0.3">
      <c r="A175">
        <v>21550</v>
      </c>
      <c r="B175" t="str">
        <f>VLOOKUP(A175,UninsuredTable[],3,0)</f>
        <v>Garrett</v>
      </c>
      <c r="C175">
        <f>VLOOKUP(A175,UninsuredTable[],4,0)</f>
        <v>14227</v>
      </c>
      <c r="D175">
        <f>VLOOKUP(A175,UninsuredTable[],5,0)</f>
        <v>1172</v>
      </c>
      <c r="E175" s="73">
        <v>937.6</v>
      </c>
      <c r="F175">
        <f>SUM(VLOOKUP(A175,BaseTable[[GEO.id2]:[MOE - 400% FPL and over - 65 years and over - No health insurance]],11,0),VLOOKUP(A175,BaseTable[[GEO.id2]:[MOE - 400% FPL and over - 65 years and over - No health insurance]],31,0),VLOOKUP(A175,BaseTable[[GEO.id2]:[MOE - 400% FPL and over - 65 years and over - No health insurance]],51,0))</f>
        <v>139</v>
      </c>
      <c r="G175">
        <f t="shared" si="12"/>
        <v>0.11860068259385666</v>
      </c>
      <c r="H175" s="73">
        <f t="shared" si="13"/>
        <v>111.2</v>
      </c>
      <c r="I175">
        <f>SUM(VLOOKUP(A175,BaseTable[[GEO.id2]:[MOE - 400% FPL and over - 65 years and over - No health insurance]],77,0),VLOOKUP(A175,BaseTable[[GEO.id2]:[MOE - 400% FPL and over - 65 years and over - No health insurance]],71,0))</f>
        <v>223</v>
      </c>
      <c r="J175">
        <f t="shared" si="14"/>
        <v>0.19027303754266212</v>
      </c>
      <c r="K175" s="73">
        <f t="shared" si="15"/>
        <v>178.4</v>
      </c>
      <c r="L175">
        <f>SUM(VLOOKUP(A175,BaseTable[[GEO.id2]:[MOE - 400% FPL and over - 65 years and over - No health insurance]],17,0),VLOOKUP(A175,BaseTable[[GEO.id2]:[MOE - 400% FPL and over - 65 years and over - No health insurance]],57,0),VLOOKUP(A175,BaseTable[[GEO.id2]:[MOE - 400% FPL and over - 65 years and over - No health insurance]],37,0))</f>
        <v>810</v>
      </c>
      <c r="M175">
        <f t="shared" si="16"/>
        <v>0.69112627986348119</v>
      </c>
      <c r="N175" s="73">
        <f t="shared" si="17"/>
        <v>648</v>
      </c>
    </row>
    <row r="176" spans="1:14" x14ac:dyDescent="0.3">
      <c r="A176">
        <v>21601</v>
      </c>
      <c r="B176" t="str">
        <f>VLOOKUP(A176,UninsuredTable[],3,0)</f>
        <v>Talbot</v>
      </c>
      <c r="C176">
        <f>VLOOKUP(A176,UninsuredTable[],4,0)</f>
        <v>23571</v>
      </c>
      <c r="D176">
        <f>VLOOKUP(A176,UninsuredTable[],5,0)</f>
        <v>1573</v>
      </c>
      <c r="E176" s="73">
        <v>990.13197043359378</v>
      </c>
      <c r="F176">
        <f>SUM(VLOOKUP(A176,BaseTable[[GEO.id2]:[MOE - 400% FPL and over - 65 years and over - No health insurance]],11,0),VLOOKUP(A176,BaseTable[[GEO.id2]:[MOE - 400% FPL and over - 65 years and over - No health insurance]],31,0),VLOOKUP(A176,BaseTable[[GEO.id2]:[MOE - 400% FPL and over - 65 years and over - No health insurance]],51,0))</f>
        <v>97</v>
      </c>
      <c r="G176">
        <f t="shared" si="12"/>
        <v>6.1665607120152573E-2</v>
      </c>
      <c r="H176" s="73">
        <f t="shared" si="13"/>
        <v>61.057089085860518</v>
      </c>
      <c r="I176">
        <f>SUM(VLOOKUP(A176,BaseTable[[GEO.id2]:[MOE - 400% FPL and over - 65 years and over - No health insurance]],77,0),VLOOKUP(A176,BaseTable[[GEO.id2]:[MOE - 400% FPL and over - 65 years and over - No health insurance]],71,0))</f>
        <v>304</v>
      </c>
      <c r="J176">
        <f t="shared" si="14"/>
        <v>0.19326128417037508</v>
      </c>
      <c r="K176" s="73">
        <f t="shared" si="15"/>
        <v>191.35417610414018</v>
      </c>
      <c r="L176">
        <f>SUM(VLOOKUP(A176,BaseTable[[GEO.id2]:[MOE - 400% FPL and over - 65 years and over - No health insurance]],17,0),VLOOKUP(A176,BaseTable[[GEO.id2]:[MOE - 400% FPL and over - 65 years and over - No health insurance]],57,0),VLOOKUP(A176,BaseTable[[GEO.id2]:[MOE - 400% FPL and over - 65 years and over - No health insurance]],37,0))</f>
        <v>1172</v>
      </c>
      <c r="M176">
        <f t="shared" si="16"/>
        <v>0.7450731087094723</v>
      </c>
      <c r="N176" s="73">
        <f t="shared" si="17"/>
        <v>737.72070524359299</v>
      </c>
    </row>
    <row r="177" spans="1:14" x14ac:dyDescent="0.3">
      <c r="A177">
        <v>21613</v>
      </c>
      <c r="B177" t="str">
        <f>VLOOKUP(A177,UninsuredTable[],3,0)</f>
        <v>Dorchester</v>
      </c>
      <c r="C177">
        <f>VLOOKUP(A177,UninsuredTable[],4,0)</f>
        <v>17048</v>
      </c>
      <c r="D177">
        <f>VLOOKUP(A177,UninsuredTable[],5,0)</f>
        <v>814</v>
      </c>
      <c r="E177" s="73">
        <v>808</v>
      </c>
      <c r="F177">
        <f>SUM(VLOOKUP(A177,BaseTable[[GEO.id2]:[MOE - 400% FPL and over - 65 years and over - No health insurance]],11,0),VLOOKUP(A177,BaseTable[[GEO.id2]:[MOE - 400% FPL and over - 65 years and over - No health insurance]],31,0),VLOOKUP(A177,BaseTable[[GEO.id2]:[MOE - 400% FPL and over - 65 years and over - No health insurance]],51,0))</f>
        <v>7</v>
      </c>
      <c r="G177">
        <f t="shared" si="12"/>
        <v>8.5995085995085995E-3</v>
      </c>
      <c r="H177" s="73">
        <f t="shared" si="13"/>
        <v>6.9484029484029488</v>
      </c>
      <c r="I177">
        <f>SUM(VLOOKUP(A177,BaseTable[[GEO.id2]:[MOE - 400% FPL and over - 65 years and over - No health insurance]],77,0),VLOOKUP(A177,BaseTable[[GEO.id2]:[MOE - 400% FPL and over - 65 years and over - No health insurance]],71,0))</f>
        <v>216</v>
      </c>
      <c r="J177">
        <f t="shared" si="14"/>
        <v>0.26535626535626533</v>
      </c>
      <c r="K177" s="73">
        <f t="shared" si="15"/>
        <v>214.40786240786238</v>
      </c>
      <c r="L177">
        <f>SUM(VLOOKUP(A177,BaseTable[[GEO.id2]:[MOE - 400% FPL and over - 65 years and over - No health insurance]],17,0),VLOOKUP(A177,BaseTable[[GEO.id2]:[MOE - 400% FPL and over - 65 years and over - No health insurance]],57,0),VLOOKUP(A177,BaseTable[[GEO.id2]:[MOE - 400% FPL and over - 65 years and over - No health insurance]],37,0))</f>
        <v>585</v>
      </c>
      <c r="M177">
        <f t="shared" si="16"/>
        <v>0.71867321867321865</v>
      </c>
      <c r="N177" s="73">
        <f t="shared" si="17"/>
        <v>580.68796068796064</v>
      </c>
    </row>
    <row r="178" spans="1:14" x14ac:dyDescent="0.3">
      <c r="A178">
        <v>21617</v>
      </c>
      <c r="B178" t="str">
        <f>VLOOKUP(A178,UninsuredTable[],3,0)</f>
        <v>Queen Annes</v>
      </c>
      <c r="C178">
        <f>VLOOKUP(A178,UninsuredTable[],4,0)</f>
        <v>10316</v>
      </c>
      <c r="D178">
        <f>VLOOKUP(A178,UninsuredTable[],5,0)</f>
        <v>395</v>
      </c>
      <c r="E178" s="73">
        <v>395</v>
      </c>
      <c r="F178">
        <f>SUM(VLOOKUP(A178,BaseTable[[GEO.id2]:[MOE - 400% FPL and over - 65 years and over - No health insurance]],11,0),VLOOKUP(A178,BaseTable[[GEO.id2]:[MOE - 400% FPL and over - 65 years and over - No health insurance]],31,0),VLOOKUP(A178,BaseTable[[GEO.id2]:[MOE - 400% FPL and over - 65 years and over - No health insurance]],51,0))</f>
        <v>47</v>
      </c>
      <c r="G178">
        <f t="shared" si="12"/>
        <v>0.11898734177215189</v>
      </c>
      <c r="H178" s="73">
        <f t="shared" si="13"/>
        <v>47</v>
      </c>
      <c r="I178">
        <f>SUM(VLOOKUP(A178,BaseTable[[GEO.id2]:[MOE - 400% FPL and over - 65 years and over - No health insurance]],77,0),VLOOKUP(A178,BaseTable[[GEO.id2]:[MOE - 400% FPL and over - 65 years and over - No health insurance]],71,0))</f>
        <v>153</v>
      </c>
      <c r="J178">
        <f t="shared" si="14"/>
        <v>0.38734177215189874</v>
      </c>
      <c r="K178" s="73">
        <f t="shared" si="15"/>
        <v>153</v>
      </c>
      <c r="L178">
        <f>SUM(VLOOKUP(A178,BaseTable[[GEO.id2]:[MOE - 400% FPL and over - 65 years and over - No health insurance]],17,0),VLOOKUP(A178,BaseTable[[GEO.id2]:[MOE - 400% FPL and over - 65 years and over - No health insurance]],57,0),VLOOKUP(A178,BaseTable[[GEO.id2]:[MOE - 400% FPL and over - 65 years and over - No health insurance]],37,0))</f>
        <v>195</v>
      </c>
      <c r="M178">
        <f t="shared" si="16"/>
        <v>0.49367088607594939</v>
      </c>
      <c r="N178" s="73">
        <f t="shared" si="17"/>
        <v>195</v>
      </c>
    </row>
    <row r="179" spans="1:14" x14ac:dyDescent="0.3">
      <c r="A179">
        <v>21619</v>
      </c>
      <c r="B179" t="str">
        <f>VLOOKUP(A179,UninsuredTable[],3,0)</f>
        <v>Queen Annes</v>
      </c>
      <c r="C179">
        <f>VLOOKUP(A179,UninsuredTable[],4,0)</f>
        <v>6168</v>
      </c>
      <c r="D179">
        <f>VLOOKUP(A179,UninsuredTable[],5,0)</f>
        <v>522</v>
      </c>
      <c r="E179" s="73">
        <v>463</v>
      </c>
      <c r="F179">
        <f>SUM(VLOOKUP(A179,BaseTable[[GEO.id2]:[MOE - 400% FPL and over - 65 years and over - No health insurance]],11,0),VLOOKUP(A179,BaseTable[[GEO.id2]:[MOE - 400% FPL and over - 65 years and over - No health insurance]],31,0),VLOOKUP(A179,BaseTable[[GEO.id2]:[MOE - 400% FPL and over - 65 years and over - No health insurance]],51,0))</f>
        <v>187</v>
      </c>
      <c r="G179">
        <f t="shared" si="12"/>
        <v>0.35823754789272033</v>
      </c>
      <c r="H179" s="73">
        <f t="shared" si="13"/>
        <v>165.86398467432952</v>
      </c>
      <c r="I179">
        <f>SUM(VLOOKUP(A179,BaseTable[[GEO.id2]:[MOE - 400% FPL and over - 65 years and over - No health insurance]],77,0),VLOOKUP(A179,BaseTable[[GEO.id2]:[MOE - 400% FPL and over - 65 years and over - No health insurance]],71,0))</f>
        <v>43</v>
      </c>
      <c r="J179">
        <f t="shared" si="14"/>
        <v>8.2375478927203066E-2</v>
      </c>
      <c r="K179" s="73">
        <f t="shared" si="15"/>
        <v>38.139846743295017</v>
      </c>
      <c r="L179">
        <f>SUM(VLOOKUP(A179,BaseTable[[GEO.id2]:[MOE - 400% FPL and over - 65 years and over - No health insurance]],17,0),VLOOKUP(A179,BaseTable[[GEO.id2]:[MOE - 400% FPL and over - 65 years and over - No health insurance]],57,0),VLOOKUP(A179,BaseTable[[GEO.id2]:[MOE - 400% FPL and over - 65 years and over - No health insurance]],37,0))</f>
        <v>233</v>
      </c>
      <c r="M179">
        <f t="shared" si="16"/>
        <v>0.44636015325670497</v>
      </c>
      <c r="N179" s="73">
        <f t="shared" si="17"/>
        <v>206.66475095785441</v>
      </c>
    </row>
    <row r="180" spans="1:14" x14ac:dyDescent="0.3">
      <c r="A180">
        <v>21620</v>
      </c>
      <c r="B180" t="str">
        <f>VLOOKUP(A180,UninsuredTable[],3,0)</f>
        <v>Kent</v>
      </c>
      <c r="C180">
        <f>VLOOKUP(A180,UninsuredTable[],4,0)</f>
        <v>11052</v>
      </c>
      <c r="D180">
        <f>VLOOKUP(A180,UninsuredTable[],5,0)</f>
        <v>449</v>
      </c>
      <c r="E180" s="73">
        <v>449</v>
      </c>
      <c r="F180">
        <f>SUM(VLOOKUP(A180,BaseTable[[GEO.id2]:[MOE - 400% FPL and over - 65 years and over - No health insurance]],11,0),VLOOKUP(A180,BaseTable[[GEO.id2]:[MOE - 400% FPL and over - 65 years and over - No health insurance]],31,0),VLOOKUP(A180,BaseTable[[GEO.id2]:[MOE - 400% FPL and over - 65 years and over - No health insurance]],51,0))</f>
        <v>22</v>
      </c>
      <c r="G180">
        <f t="shared" si="12"/>
        <v>4.8997772828507792E-2</v>
      </c>
      <c r="H180" s="73">
        <f t="shared" si="13"/>
        <v>22</v>
      </c>
      <c r="I180">
        <f>SUM(VLOOKUP(A180,BaseTable[[GEO.id2]:[MOE - 400% FPL and over - 65 years and over - No health insurance]],77,0),VLOOKUP(A180,BaseTable[[GEO.id2]:[MOE - 400% FPL and over - 65 years and over - No health insurance]],71,0))</f>
        <v>53</v>
      </c>
      <c r="J180">
        <f t="shared" si="14"/>
        <v>0.11804008908685969</v>
      </c>
      <c r="K180" s="73">
        <f t="shared" si="15"/>
        <v>53</v>
      </c>
      <c r="L180">
        <f>SUM(VLOOKUP(A180,BaseTable[[GEO.id2]:[MOE - 400% FPL and over - 65 years and over - No health insurance]],17,0),VLOOKUP(A180,BaseTable[[GEO.id2]:[MOE - 400% FPL and over - 65 years and over - No health insurance]],57,0),VLOOKUP(A180,BaseTable[[GEO.id2]:[MOE - 400% FPL and over - 65 years and over - No health insurance]],37,0))</f>
        <v>374</v>
      </c>
      <c r="M180">
        <f t="shared" si="16"/>
        <v>0.83296213808463249</v>
      </c>
      <c r="N180" s="73">
        <f t="shared" si="17"/>
        <v>374</v>
      </c>
    </row>
    <row r="181" spans="1:14" x14ac:dyDescent="0.3">
      <c r="A181">
        <v>21629</v>
      </c>
      <c r="B181" t="str">
        <f>VLOOKUP(A181,UninsuredTable[],3,0)</f>
        <v>Caroline</v>
      </c>
      <c r="C181">
        <f>VLOOKUP(A181,UninsuredTable[],4,0)</f>
        <v>9264</v>
      </c>
      <c r="D181">
        <f>VLOOKUP(A181,UninsuredTable[],5,0)</f>
        <v>726</v>
      </c>
      <c r="E181" s="73">
        <v>722</v>
      </c>
      <c r="F181">
        <f>SUM(VLOOKUP(A181,BaseTable[[GEO.id2]:[MOE - 400% FPL and over - 65 years and over - No health insurance]],11,0),VLOOKUP(A181,BaseTable[[GEO.id2]:[MOE - 400% FPL and over - 65 years and over - No health insurance]],31,0),VLOOKUP(A181,BaseTable[[GEO.id2]:[MOE - 400% FPL and over - 65 years and over - No health insurance]],51,0))</f>
        <v>48</v>
      </c>
      <c r="G181">
        <f t="shared" si="12"/>
        <v>6.6115702479338845E-2</v>
      </c>
      <c r="H181" s="73">
        <f t="shared" si="13"/>
        <v>47.735537190082646</v>
      </c>
      <c r="I181">
        <f>SUM(VLOOKUP(A181,BaseTable[[GEO.id2]:[MOE - 400% FPL and over - 65 years and over - No health insurance]],77,0),VLOOKUP(A181,BaseTable[[GEO.id2]:[MOE - 400% FPL and over - 65 years and over - No health insurance]],71,0))</f>
        <v>149</v>
      </c>
      <c r="J181">
        <f t="shared" si="14"/>
        <v>0.20523415977961432</v>
      </c>
      <c r="K181" s="73">
        <f t="shared" si="15"/>
        <v>148.17906336088154</v>
      </c>
      <c r="L181">
        <f>SUM(VLOOKUP(A181,BaseTable[[GEO.id2]:[MOE - 400% FPL and over - 65 years and over - No health insurance]],17,0),VLOOKUP(A181,BaseTable[[GEO.id2]:[MOE - 400% FPL and over - 65 years and over - No health insurance]],57,0),VLOOKUP(A181,BaseTable[[GEO.id2]:[MOE - 400% FPL and over - 65 years and over - No health insurance]],37,0))</f>
        <v>525</v>
      </c>
      <c r="M181">
        <f t="shared" si="16"/>
        <v>0.72314049586776863</v>
      </c>
      <c r="N181" s="73">
        <f t="shared" si="17"/>
        <v>522.10743801652893</v>
      </c>
    </row>
    <row r="182" spans="1:14" x14ac:dyDescent="0.3">
      <c r="A182">
        <v>21632</v>
      </c>
      <c r="B182" t="str">
        <f>VLOOKUP(A182,UninsuredTable[],3,0)</f>
        <v>Caroline</v>
      </c>
      <c r="C182">
        <f>VLOOKUP(A182,UninsuredTable[],4,0)</f>
        <v>5855</v>
      </c>
      <c r="D182">
        <f>VLOOKUP(A182,UninsuredTable[],5,0)</f>
        <v>421</v>
      </c>
      <c r="E182" s="73">
        <v>421</v>
      </c>
      <c r="F182">
        <f>SUM(VLOOKUP(A182,BaseTable[[GEO.id2]:[MOE - 400% FPL and over - 65 years and over - No health insurance]],11,0),VLOOKUP(A182,BaseTable[[GEO.id2]:[MOE - 400% FPL and over - 65 years and over - No health insurance]],31,0),VLOOKUP(A182,BaseTable[[GEO.id2]:[MOE - 400% FPL and over - 65 years and over - No health insurance]],51,0))</f>
        <v>31</v>
      </c>
      <c r="G182">
        <f t="shared" si="12"/>
        <v>7.3634204275534437E-2</v>
      </c>
      <c r="H182" s="73">
        <f t="shared" si="13"/>
        <v>30.999999999999996</v>
      </c>
      <c r="I182">
        <f>SUM(VLOOKUP(A182,BaseTable[[GEO.id2]:[MOE - 400% FPL and over - 65 years and over - No health insurance]],77,0),VLOOKUP(A182,BaseTable[[GEO.id2]:[MOE - 400% FPL and over - 65 years and over - No health insurance]],71,0))</f>
        <v>38</v>
      </c>
      <c r="J182">
        <f t="shared" si="14"/>
        <v>9.0261282660332537E-2</v>
      </c>
      <c r="K182" s="73">
        <f t="shared" si="15"/>
        <v>38</v>
      </c>
      <c r="L182">
        <f>SUM(VLOOKUP(A182,BaseTable[[GEO.id2]:[MOE - 400% FPL and over - 65 years and over - No health insurance]],17,0),VLOOKUP(A182,BaseTable[[GEO.id2]:[MOE - 400% FPL and over - 65 years and over - No health insurance]],57,0),VLOOKUP(A182,BaseTable[[GEO.id2]:[MOE - 400% FPL and over - 65 years and over - No health insurance]],37,0))</f>
        <v>352</v>
      </c>
      <c r="M182">
        <f t="shared" si="16"/>
        <v>0.83610451306413303</v>
      </c>
      <c r="N182" s="73">
        <f t="shared" si="17"/>
        <v>352</v>
      </c>
    </row>
    <row r="183" spans="1:14" x14ac:dyDescent="0.3">
      <c r="A183">
        <v>21639</v>
      </c>
      <c r="B183" t="str">
        <f>VLOOKUP(A183,UninsuredTable[],3,0)</f>
        <v>Caroline</v>
      </c>
      <c r="C183">
        <f>VLOOKUP(A183,UninsuredTable[],4,0)</f>
        <v>4524</v>
      </c>
      <c r="D183">
        <f>VLOOKUP(A183,UninsuredTable[],5,0)</f>
        <v>308</v>
      </c>
      <c r="E183" s="73">
        <v>308</v>
      </c>
      <c r="F183">
        <f>SUM(VLOOKUP(A183,BaseTable[[GEO.id2]:[MOE - 400% FPL and over - 65 years and over - No health insurance]],11,0),VLOOKUP(A183,BaseTable[[GEO.id2]:[MOE - 400% FPL and over - 65 years and over - No health insurance]],31,0),VLOOKUP(A183,BaseTable[[GEO.id2]:[MOE - 400% FPL and over - 65 years and over - No health insurance]],51,0))</f>
        <v>36</v>
      </c>
      <c r="G183">
        <f t="shared" si="12"/>
        <v>0.11688311688311688</v>
      </c>
      <c r="H183" s="73">
        <f t="shared" si="13"/>
        <v>36</v>
      </c>
      <c r="I183">
        <f>SUM(VLOOKUP(A183,BaseTable[[GEO.id2]:[MOE - 400% FPL and over - 65 years and over - No health insurance]],77,0),VLOOKUP(A183,BaseTable[[GEO.id2]:[MOE - 400% FPL and over - 65 years and over - No health insurance]],71,0))</f>
        <v>14</v>
      </c>
      <c r="J183">
        <f t="shared" si="14"/>
        <v>4.5454545454545456E-2</v>
      </c>
      <c r="K183" s="73">
        <f t="shared" si="15"/>
        <v>14</v>
      </c>
      <c r="L183">
        <f>SUM(VLOOKUP(A183,BaseTable[[GEO.id2]:[MOE - 400% FPL and over - 65 years and over - No health insurance]],17,0),VLOOKUP(A183,BaseTable[[GEO.id2]:[MOE - 400% FPL and over - 65 years and over - No health insurance]],57,0),VLOOKUP(A183,BaseTable[[GEO.id2]:[MOE - 400% FPL and over - 65 years and over - No health insurance]],37,0))</f>
        <v>258</v>
      </c>
      <c r="M183">
        <f t="shared" si="16"/>
        <v>0.83766233766233766</v>
      </c>
      <c r="N183" s="73">
        <f t="shared" si="17"/>
        <v>258</v>
      </c>
    </row>
    <row r="184" spans="1:14" x14ac:dyDescent="0.3">
      <c r="A184">
        <v>21643</v>
      </c>
      <c r="B184" t="str">
        <f>VLOOKUP(A184,UninsuredTable[],3,0)</f>
        <v>Dorchester</v>
      </c>
      <c r="C184">
        <f>VLOOKUP(A184,UninsuredTable[],4,0)</f>
        <v>5912</v>
      </c>
      <c r="D184">
        <f>VLOOKUP(A184,UninsuredTable[],5,0)</f>
        <v>328</v>
      </c>
      <c r="E184" s="73">
        <v>328</v>
      </c>
      <c r="F184">
        <f>SUM(VLOOKUP(A184,BaseTable[[GEO.id2]:[MOE - 400% FPL and over - 65 years and over - No health insurance]],11,0),VLOOKUP(A184,BaseTable[[GEO.id2]:[MOE - 400% FPL and over - 65 years and over - No health insurance]],31,0),VLOOKUP(A184,BaseTable[[GEO.id2]:[MOE - 400% FPL and over - 65 years and over - No health insurance]],51,0))</f>
        <v>41</v>
      </c>
      <c r="G184">
        <f t="shared" si="12"/>
        <v>0.125</v>
      </c>
      <c r="H184" s="73">
        <f t="shared" si="13"/>
        <v>41</v>
      </c>
      <c r="I184">
        <f>SUM(VLOOKUP(A184,BaseTable[[GEO.id2]:[MOE - 400% FPL and over - 65 years and over - No health insurance]],77,0),VLOOKUP(A184,BaseTable[[GEO.id2]:[MOE - 400% FPL and over - 65 years and over - No health insurance]],71,0))</f>
        <v>7</v>
      </c>
      <c r="J184">
        <f t="shared" si="14"/>
        <v>2.1341463414634148E-2</v>
      </c>
      <c r="K184" s="73">
        <f t="shared" si="15"/>
        <v>7.0000000000000009</v>
      </c>
      <c r="L184">
        <f>SUM(VLOOKUP(A184,BaseTable[[GEO.id2]:[MOE - 400% FPL and over - 65 years and over - No health insurance]],17,0),VLOOKUP(A184,BaseTable[[GEO.id2]:[MOE - 400% FPL and over - 65 years and over - No health insurance]],57,0),VLOOKUP(A184,BaseTable[[GEO.id2]:[MOE - 400% FPL and over - 65 years and over - No health insurance]],37,0))</f>
        <v>280</v>
      </c>
      <c r="M184">
        <f t="shared" si="16"/>
        <v>0.85365853658536583</v>
      </c>
      <c r="N184" s="73">
        <f t="shared" si="17"/>
        <v>280</v>
      </c>
    </row>
    <row r="185" spans="1:14" x14ac:dyDescent="0.3">
      <c r="A185">
        <v>21649</v>
      </c>
      <c r="B185" t="str">
        <f>VLOOKUP(A185,UninsuredTable[],3,0)</f>
        <v>Caroline</v>
      </c>
      <c r="C185">
        <f>VLOOKUP(A185,UninsuredTable[],4,0)</f>
        <v>1781</v>
      </c>
      <c r="D185">
        <f>VLOOKUP(A185,UninsuredTable[],5,0)</f>
        <v>508</v>
      </c>
      <c r="E185" s="73">
        <v>493</v>
      </c>
      <c r="F185">
        <f>SUM(VLOOKUP(A185,BaseTable[[GEO.id2]:[MOE - 400% FPL and over - 65 years and over - No health insurance]],11,0),VLOOKUP(A185,BaseTable[[GEO.id2]:[MOE - 400% FPL and over - 65 years and over - No health insurance]],31,0),VLOOKUP(A185,BaseTable[[GEO.id2]:[MOE - 400% FPL and over - 65 years and over - No health insurance]],51,0))</f>
        <v>32</v>
      </c>
      <c r="G185">
        <f t="shared" si="12"/>
        <v>6.2992125984251968E-2</v>
      </c>
      <c r="H185" s="73">
        <f t="shared" si="13"/>
        <v>31.055118110236219</v>
      </c>
      <c r="I185">
        <f>SUM(VLOOKUP(A185,BaseTable[[GEO.id2]:[MOE - 400% FPL and over - 65 years and over - No health insurance]],77,0),VLOOKUP(A185,BaseTable[[GEO.id2]:[MOE - 400% FPL and over - 65 years and over - No health insurance]],71,0))</f>
        <v>3</v>
      </c>
      <c r="J185">
        <f t="shared" si="14"/>
        <v>5.905511811023622E-3</v>
      </c>
      <c r="K185" s="73">
        <f t="shared" si="15"/>
        <v>2.9114173228346458</v>
      </c>
      <c r="L185">
        <f>SUM(VLOOKUP(A185,BaseTable[[GEO.id2]:[MOE - 400% FPL and over - 65 years and over - No health insurance]],17,0),VLOOKUP(A185,BaseTable[[GEO.id2]:[MOE - 400% FPL and over - 65 years and over - No health insurance]],57,0),VLOOKUP(A185,BaseTable[[GEO.id2]:[MOE - 400% FPL and over - 65 years and over - No health insurance]],37,0))</f>
        <v>458</v>
      </c>
      <c r="M185">
        <f t="shared" si="16"/>
        <v>0.90157480314960625</v>
      </c>
      <c r="N185" s="73">
        <f t="shared" si="17"/>
        <v>444.47637795275585</v>
      </c>
    </row>
    <row r="186" spans="1:14" x14ac:dyDescent="0.3">
      <c r="A186">
        <v>21651</v>
      </c>
      <c r="B186" t="str">
        <f>VLOOKUP(A186,UninsuredTable[],3,0)</f>
        <v>Kent</v>
      </c>
      <c r="C186">
        <f>VLOOKUP(A186,UninsuredTable[],4,0)</f>
        <v>2961</v>
      </c>
      <c r="D186">
        <f>VLOOKUP(A186,UninsuredTable[],5,0)</f>
        <v>343</v>
      </c>
      <c r="E186" s="73">
        <v>343</v>
      </c>
      <c r="F186">
        <f>SUM(VLOOKUP(A186,BaseTable[[GEO.id2]:[MOE - 400% FPL and over - 65 years and over - No health insurance]],11,0),VLOOKUP(A186,BaseTable[[GEO.id2]:[MOE - 400% FPL and over - 65 years and over - No health insurance]],31,0),VLOOKUP(A186,BaseTable[[GEO.id2]:[MOE - 400% FPL and over - 65 years and over - No health insurance]],51,0))</f>
        <v>0</v>
      </c>
      <c r="G186">
        <f t="shared" si="12"/>
        <v>0</v>
      </c>
      <c r="H186" s="73">
        <f t="shared" si="13"/>
        <v>0</v>
      </c>
      <c r="I186">
        <f>SUM(VLOOKUP(A186,BaseTable[[GEO.id2]:[MOE - 400% FPL and over - 65 years and over - No health insurance]],77,0),VLOOKUP(A186,BaseTable[[GEO.id2]:[MOE - 400% FPL and over - 65 years and over - No health insurance]],71,0))</f>
        <v>131</v>
      </c>
      <c r="J186">
        <f t="shared" si="14"/>
        <v>0.38192419825072887</v>
      </c>
      <c r="K186" s="73">
        <f t="shared" si="15"/>
        <v>131</v>
      </c>
      <c r="L186">
        <f>SUM(VLOOKUP(A186,BaseTable[[GEO.id2]:[MOE - 400% FPL and over - 65 years and over - No health insurance]],17,0),VLOOKUP(A186,BaseTable[[GEO.id2]:[MOE - 400% FPL and over - 65 years and over - No health insurance]],57,0),VLOOKUP(A186,BaseTable[[GEO.id2]:[MOE - 400% FPL and over - 65 years and over - No health insurance]],37,0))</f>
        <v>212</v>
      </c>
      <c r="M186">
        <f t="shared" si="16"/>
        <v>0.61807580174927113</v>
      </c>
      <c r="N186" s="73">
        <f t="shared" si="17"/>
        <v>212</v>
      </c>
    </row>
    <row r="187" spans="1:14" x14ac:dyDescent="0.3">
      <c r="A187">
        <v>21655</v>
      </c>
      <c r="B187" t="str">
        <f>VLOOKUP(A187,UninsuredTable[],3,0)</f>
        <v>Caroline</v>
      </c>
      <c r="C187">
        <f>VLOOKUP(A187,UninsuredTable[],4,0)</f>
        <v>5382</v>
      </c>
      <c r="D187">
        <f>VLOOKUP(A187,UninsuredTable[],5,0)</f>
        <v>302</v>
      </c>
      <c r="E187" s="73">
        <v>292</v>
      </c>
      <c r="F187">
        <f>SUM(VLOOKUP(A187,BaseTable[[GEO.id2]:[MOE - 400% FPL and over - 65 years and over - No health insurance]],11,0),VLOOKUP(A187,BaseTable[[GEO.id2]:[MOE - 400% FPL and over - 65 years and over - No health insurance]],31,0),VLOOKUP(A187,BaseTable[[GEO.id2]:[MOE - 400% FPL and over - 65 years and over - No health insurance]],51,0))</f>
        <v>4</v>
      </c>
      <c r="G187">
        <f t="shared" si="12"/>
        <v>1.3245033112582781E-2</v>
      </c>
      <c r="H187" s="73">
        <f t="shared" si="13"/>
        <v>3.8675496688741724</v>
      </c>
      <c r="I187">
        <f>SUM(VLOOKUP(A187,BaseTable[[GEO.id2]:[MOE - 400% FPL and over - 65 years and over - No health insurance]],77,0),VLOOKUP(A187,BaseTable[[GEO.id2]:[MOE - 400% FPL and over - 65 years and over - No health insurance]],71,0))</f>
        <v>140</v>
      </c>
      <c r="J187">
        <f t="shared" si="14"/>
        <v>0.46357615894039733</v>
      </c>
      <c r="K187" s="73">
        <f t="shared" si="15"/>
        <v>135.36423841059602</v>
      </c>
      <c r="L187">
        <f>SUM(VLOOKUP(A187,BaseTable[[GEO.id2]:[MOE - 400% FPL and over - 65 years and over - No health insurance]],17,0),VLOOKUP(A187,BaseTable[[GEO.id2]:[MOE - 400% FPL and over - 65 years and over - No health insurance]],57,0),VLOOKUP(A187,BaseTable[[GEO.id2]:[MOE - 400% FPL and over - 65 years and over - No health insurance]],37,0))</f>
        <v>148</v>
      </c>
      <c r="M187">
        <f t="shared" si="16"/>
        <v>0.49006622516556292</v>
      </c>
      <c r="N187" s="73">
        <f t="shared" si="17"/>
        <v>143.09933774834437</v>
      </c>
    </row>
    <row r="188" spans="1:14" x14ac:dyDescent="0.3">
      <c r="A188">
        <v>21660</v>
      </c>
      <c r="B188" t="str">
        <f>VLOOKUP(A188,UninsuredTable[],3,0)</f>
        <v>Caroline</v>
      </c>
      <c r="C188">
        <f>VLOOKUP(A188,UninsuredTable[],4,0)</f>
        <v>3835</v>
      </c>
      <c r="D188">
        <f>VLOOKUP(A188,UninsuredTable[],5,0)</f>
        <v>282</v>
      </c>
      <c r="E188" s="73">
        <v>263</v>
      </c>
      <c r="F188">
        <f>SUM(VLOOKUP(A188,BaseTable[[GEO.id2]:[MOE - 400% FPL and over - 65 years and over - No health insurance]],11,0),VLOOKUP(A188,BaseTable[[GEO.id2]:[MOE - 400% FPL and over - 65 years and over - No health insurance]],31,0),VLOOKUP(A188,BaseTable[[GEO.id2]:[MOE - 400% FPL and over - 65 years and over - No health insurance]],51,0))</f>
        <v>18</v>
      </c>
      <c r="G188">
        <f t="shared" si="12"/>
        <v>6.3829787234042548E-2</v>
      </c>
      <c r="H188" s="73">
        <f t="shared" si="13"/>
        <v>16.787234042553191</v>
      </c>
      <c r="I188">
        <f>SUM(VLOOKUP(A188,BaseTable[[GEO.id2]:[MOE - 400% FPL and over - 65 years and over - No health insurance]],77,0),VLOOKUP(A188,BaseTable[[GEO.id2]:[MOE - 400% FPL and over - 65 years and over - No health insurance]],71,0))</f>
        <v>29</v>
      </c>
      <c r="J188">
        <f t="shared" si="14"/>
        <v>0.10283687943262411</v>
      </c>
      <c r="K188" s="73">
        <f t="shared" si="15"/>
        <v>27.046099290780141</v>
      </c>
      <c r="L188">
        <f>SUM(VLOOKUP(A188,BaseTable[[GEO.id2]:[MOE - 400% FPL and over - 65 years and over - No health insurance]],17,0),VLOOKUP(A188,BaseTable[[GEO.id2]:[MOE - 400% FPL and over - 65 years and over - No health insurance]],57,0),VLOOKUP(A188,BaseTable[[GEO.id2]:[MOE - 400% FPL and over - 65 years and over - No health insurance]],37,0))</f>
        <v>216</v>
      </c>
      <c r="M188">
        <f t="shared" si="16"/>
        <v>0.76595744680851063</v>
      </c>
      <c r="N188" s="73">
        <f t="shared" si="17"/>
        <v>201.44680851063831</v>
      </c>
    </row>
    <row r="189" spans="1:14" x14ac:dyDescent="0.3">
      <c r="A189">
        <v>21666</v>
      </c>
      <c r="B189" t="str">
        <f>VLOOKUP(A189,UninsuredTable[],3,0)</f>
        <v>Queen Annes</v>
      </c>
      <c r="C189">
        <f>VLOOKUP(A189,UninsuredTable[],4,0)</f>
        <v>11874</v>
      </c>
      <c r="D189">
        <f>VLOOKUP(A189,UninsuredTable[],5,0)</f>
        <v>321</v>
      </c>
      <c r="E189" s="73">
        <v>321</v>
      </c>
      <c r="F189">
        <f>SUM(VLOOKUP(A189,BaseTable[[GEO.id2]:[MOE - 400% FPL and over - 65 years and over - No health insurance]],11,0),VLOOKUP(A189,BaseTable[[GEO.id2]:[MOE - 400% FPL and over - 65 years and over - No health insurance]],31,0),VLOOKUP(A189,BaseTable[[GEO.id2]:[MOE - 400% FPL and over - 65 years and over - No health insurance]],51,0))</f>
        <v>0</v>
      </c>
      <c r="G189">
        <f t="shared" si="12"/>
        <v>0</v>
      </c>
      <c r="H189" s="73">
        <f t="shared" si="13"/>
        <v>0</v>
      </c>
      <c r="I189">
        <f>SUM(VLOOKUP(A189,BaseTable[[GEO.id2]:[MOE - 400% FPL and over - 65 years and over - No health insurance]],77,0),VLOOKUP(A189,BaseTable[[GEO.id2]:[MOE - 400% FPL and over - 65 years and over - No health insurance]],71,0))</f>
        <v>57</v>
      </c>
      <c r="J189">
        <f t="shared" si="14"/>
        <v>0.17757009345794392</v>
      </c>
      <c r="K189" s="73">
        <f t="shared" si="15"/>
        <v>57</v>
      </c>
      <c r="L189">
        <f>SUM(VLOOKUP(A189,BaseTable[[GEO.id2]:[MOE - 400% FPL and over - 65 years and over - No health insurance]],17,0),VLOOKUP(A189,BaseTable[[GEO.id2]:[MOE - 400% FPL and over - 65 years and over - No health insurance]],57,0),VLOOKUP(A189,BaseTable[[GEO.id2]:[MOE - 400% FPL and over - 65 years and over - No health insurance]],37,0))</f>
        <v>264</v>
      </c>
      <c r="M189">
        <f t="shared" si="16"/>
        <v>0.82242990654205606</v>
      </c>
      <c r="N189" s="73">
        <f t="shared" si="17"/>
        <v>264</v>
      </c>
    </row>
    <row r="190" spans="1:14" x14ac:dyDescent="0.3">
      <c r="A190">
        <v>21701</v>
      </c>
      <c r="B190" t="str">
        <f>VLOOKUP(A190,UninsuredTable[],3,0)</f>
        <v>Frederick</v>
      </c>
      <c r="C190">
        <f>VLOOKUP(A190,UninsuredTable[],4,0)</f>
        <v>35602</v>
      </c>
      <c r="D190">
        <f>VLOOKUP(A190,UninsuredTable[],5,0)</f>
        <v>1966</v>
      </c>
      <c r="E190" s="73">
        <v>1289.8095100588389</v>
      </c>
      <c r="F190">
        <f>SUM(VLOOKUP(A190,BaseTable[[GEO.id2]:[MOE - 400% FPL and over - 65 years and over - No health insurance]],11,0),VLOOKUP(A190,BaseTable[[GEO.id2]:[MOE - 400% FPL and over - 65 years and over - No health insurance]],31,0),VLOOKUP(A190,BaseTable[[GEO.id2]:[MOE - 400% FPL and over - 65 years and over - No health insurance]],51,0))</f>
        <v>155</v>
      </c>
      <c r="G190">
        <f t="shared" si="12"/>
        <v>7.8840284842319433E-2</v>
      </c>
      <c r="H190" s="73">
        <f t="shared" si="13"/>
        <v>101.68894916537133</v>
      </c>
      <c r="I190">
        <f>SUM(VLOOKUP(A190,BaseTable[[GEO.id2]:[MOE - 400% FPL and over - 65 years and over - No health insurance]],77,0),VLOOKUP(A190,BaseTable[[GEO.id2]:[MOE - 400% FPL and over - 65 years and over - No health insurance]],71,0))</f>
        <v>448</v>
      </c>
      <c r="J190">
        <f t="shared" si="14"/>
        <v>0.2278738555442523</v>
      </c>
      <c r="K190" s="73">
        <f t="shared" si="15"/>
        <v>293.91386597475071</v>
      </c>
      <c r="L190">
        <f>SUM(VLOOKUP(A190,BaseTable[[GEO.id2]:[MOE - 400% FPL and over - 65 years and over - No health insurance]],17,0),VLOOKUP(A190,BaseTable[[GEO.id2]:[MOE - 400% FPL and over - 65 years and over - No health insurance]],57,0),VLOOKUP(A190,BaseTable[[GEO.id2]:[MOE - 400% FPL and over - 65 years and over - No health insurance]],37,0))</f>
        <v>1346</v>
      </c>
      <c r="M190">
        <f t="shared" si="16"/>
        <v>0.68463886063072232</v>
      </c>
      <c r="N190" s="73">
        <f t="shared" si="17"/>
        <v>883.05371339735359</v>
      </c>
    </row>
    <row r="191" spans="1:14" x14ac:dyDescent="0.3">
      <c r="A191">
        <v>21702</v>
      </c>
      <c r="B191" t="str">
        <f>VLOOKUP(A191,UninsuredTable[],3,0)</f>
        <v>Frederick</v>
      </c>
      <c r="C191">
        <f>VLOOKUP(A191,UninsuredTable[],4,0)</f>
        <v>40472</v>
      </c>
      <c r="D191">
        <f>VLOOKUP(A191,UninsuredTable[],5,0)</f>
        <v>2921</v>
      </c>
      <c r="E191" s="73">
        <v>1616.7711184508944</v>
      </c>
      <c r="F191">
        <f>SUM(VLOOKUP(A191,BaseTable[[GEO.id2]:[MOE - 400% FPL and over - 65 years and over - No health insurance]],11,0),VLOOKUP(A191,BaseTable[[GEO.id2]:[MOE - 400% FPL and over - 65 years and over - No health insurance]],31,0),VLOOKUP(A191,BaseTable[[GEO.id2]:[MOE - 400% FPL and over - 65 years and over - No health insurance]],51,0))</f>
        <v>370</v>
      </c>
      <c r="G191">
        <f t="shared" si="12"/>
        <v>0.12666894899007189</v>
      </c>
      <c r="H191" s="73">
        <f t="shared" si="13"/>
        <v>204.79469833167781</v>
      </c>
      <c r="I191">
        <f>SUM(VLOOKUP(A191,BaseTable[[GEO.id2]:[MOE - 400% FPL and over - 65 years and over - No health insurance]],77,0),VLOOKUP(A191,BaseTable[[GEO.id2]:[MOE - 400% FPL and over - 65 years and over - No health insurance]],71,0))</f>
        <v>441</v>
      </c>
      <c r="J191">
        <f t="shared" si="14"/>
        <v>0.15097569325573434</v>
      </c>
      <c r="K191" s="73">
        <f t="shared" si="15"/>
        <v>244.09314044397277</v>
      </c>
      <c r="L191">
        <f>SUM(VLOOKUP(A191,BaseTable[[GEO.id2]:[MOE - 400% FPL and over - 65 years and over - No health insurance]],17,0),VLOOKUP(A191,BaseTable[[GEO.id2]:[MOE - 400% FPL and over - 65 years and over - No health insurance]],57,0),VLOOKUP(A191,BaseTable[[GEO.id2]:[MOE - 400% FPL and over - 65 years and over - No health insurance]],37,0))</f>
        <v>2002</v>
      </c>
      <c r="M191">
        <f t="shared" si="16"/>
        <v>0.68538171858952412</v>
      </c>
      <c r="N191" s="73">
        <f t="shared" si="17"/>
        <v>1108.1053677297812</v>
      </c>
    </row>
    <row r="192" spans="1:14" x14ac:dyDescent="0.3">
      <c r="A192">
        <v>21703</v>
      </c>
      <c r="B192" t="str">
        <f>VLOOKUP(A192,UninsuredTable[],3,0)</f>
        <v>Frederick</v>
      </c>
      <c r="C192">
        <f>VLOOKUP(A192,UninsuredTable[],4,0)</f>
        <v>35359</v>
      </c>
      <c r="D192">
        <f>VLOOKUP(A192,UninsuredTable[],5,0)</f>
        <v>2775</v>
      </c>
      <c r="E192" s="73">
        <v>1579.4738201866749</v>
      </c>
      <c r="F192">
        <f>SUM(VLOOKUP(A192,BaseTable[[GEO.id2]:[MOE - 400% FPL and over - 65 years and over - No health insurance]],11,0),VLOOKUP(A192,BaseTable[[GEO.id2]:[MOE - 400% FPL and over - 65 years and over - No health insurance]],31,0),VLOOKUP(A192,BaseTable[[GEO.id2]:[MOE - 400% FPL and over - 65 years and over - No health insurance]],51,0))</f>
        <v>399</v>
      </c>
      <c r="G192">
        <f t="shared" si="12"/>
        <v>0.14378378378378379</v>
      </c>
      <c r="H192" s="73">
        <f t="shared" si="13"/>
        <v>227.10272225386785</v>
      </c>
      <c r="I192">
        <f>SUM(VLOOKUP(A192,BaseTable[[GEO.id2]:[MOE - 400% FPL and over - 65 years and over - No health insurance]],77,0),VLOOKUP(A192,BaseTable[[GEO.id2]:[MOE - 400% FPL and over - 65 years and over - No health insurance]],71,0))</f>
        <v>435</v>
      </c>
      <c r="J192">
        <f t="shared" si="14"/>
        <v>0.15675675675675677</v>
      </c>
      <c r="K192" s="73">
        <f t="shared" si="15"/>
        <v>247.59319343466797</v>
      </c>
      <c r="L192">
        <f>SUM(VLOOKUP(A192,BaseTable[[GEO.id2]:[MOE - 400% FPL and over - 65 years and over - No health insurance]],17,0),VLOOKUP(A192,BaseTable[[GEO.id2]:[MOE - 400% FPL and over - 65 years and over - No health insurance]],57,0),VLOOKUP(A192,BaseTable[[GEO.id2]:[MOE - 400% FPL and over - 65 years and over - No health insurance]],37,0))</f>
        <v>1851</v>
      </c>
      <c r="M192">
        <f t="shared" si="16"/>
        <v>0.66702702702702699</v>
      </c>
      <c r="N192" s="73">
        <f t="shared" si="17"/>
        <v>1053.5517265461388</v>
      </c>
    </row>
    <row r="193" spans="1:14" x14ac:dyDescent="0.3">
      <c r="A193">
        <v>21704</v>
      </c>
      <c r="B193" t="str">
        <f>VLOOKUP(A193,UninsuredTable[],3,0)</f>
        <v>Frederick</v>
      </c>
      <c r="C193">
        <f>VLOOKUP(A193,UninsuredTable[],4,0)</f>
        <v>15638</v>
      </c>
      <c r="D193">
        <f>VLOOKUP(A193,UninsuredTable[],5,0)</f>
        <v>618</v>
      </c>
      <c r="E193" s="73">
        <v>618</v>
      </c>
      <c r="F193">
        <f>SUM(VLOOKUP(A193,BaseTable[[GEO.id2]:[MOE - 400% FPL and over - 65 years and over - No health insurance]],11,0),VLOOKUP(A193,BaseTable[[GEO.id2]:[MOE - 400% FPL and over - 65 years and over - No health insurance]],31,0),VLOOKUP(A193,BaseTable[[GEO.id2]:[MOE - 400% FPL and over - 65 years and over - No health insurance]],51,0))</f>
        <v>10</v>
      </c>
      <c r="G193">
        <f t="shared" si="12"/>
        <v>1.6181229773462782E-2</v>
      </c>
      <c r="H193" s="73">
        <f t="shared" si="13"/>
        <v>10</v>
      </c>
      <c r="I193">
        <f>SUM(VLOOKUP(A193,BaseTable[[GEO.id2]:[MOE - 400% FPL and over - 65 years and over - No health insurance]],77,0),VLOOKUP(A193,BaseTable[[GEO.id2]:[MOE - 400% FPL and over - 65 years and over - No health insurance]],71,0))</f>
        <v>268</v>
      </c>
      <c r="J193">
        <f t="shared" si="14"/>
        <v>0.4336569579288026</v>
      </c>
      <c r="K193" s="73">
        <f t="shared" si="15"/>
        <v>268</v>
      </c>
      <c r="L193">
        <f>SUM(VLOOKUP(A193,BaseTable[[GEO.id2]:[MOE - 400% FPL and over - 65 years and over - No health insurance]],17,0),VLOOKUP(A193,BaseTable[[GEO.id2]:[MOE - 400% FPL and over - 65 years and over - No health insurance]],57,0),VLOOKUP(A193,BaseTable[[GEO.id2]:[MOE - 400% FPL and over - 65 years and over - No health insurance]],37,0))</f>
        <v>340</v>
      </c>
      <c r="M193">
        <f t="shared" si="16"/>
        <v>0.55016181229773464</v>
      </c>
      <c r="N193" s="73">
        <f t="shared" si="17"/>
        <v>340</v>
      </c>
    </row>
    <row r="194" spans="1:14" x14ac:dyDescent="0.3">
      <c r="A194">
        <v>21713</v>
      </c>
      <c r="B194" t="str">
        <f>VLOOKUP(A194,UninsuredTable[],3,0)</f>
        <v>Washington</v>
      </c>
      <c r="C194">
        <f>VLOOKUP(A194,UninsuredTable[],4,0)</f>
        <v>9871</v>
      </c>
      <c r="D194">
        <f>VLOOKUP(A194,UninsuredTable[],5,0)</f>
        <v>472</v>
      </c>
      <c r="E194" s="73">
        <v>472</v>
      </c>
      <c r="F194">
        <f>SUM(VLOOKUP(A194,BaseTable[[GEO.id2]:[MOE - 400% FPL and over - 65 years and over - No health insurance]],11,0),VLOOKUP(A194,BaseTable[[GEO.id2]:[MOE - 400% FPL and over - 65 years and over - No health insurance]],31,0),VLOOKUP(A194,BaseTable[[GEO.id2]:[MOE - 400% FPL and over - 65 years and over - No health insurance]],51,0))</f>
        <v>0</v>
      </c>
      <c r="G194">
        <f t="shared" si="12"/>
        <v>0</v>
      </c>
      <c r="H194" s="73">
        <f t="shared" si="13"/>
        <v>0</v>
      </c>
      <c r="I194">
        <f>SUM(VLOOKUP(A194,BaseTable[[GEO.id2]:[MOE - 400% FPL and over - 65 years and over - No health insurance]],77,0),VLOOKUP(A194,BaseTable[[GEO.id2]:[MOE - 400% FPL and over - 65 years and over - No health insurance]],71,0))</f>
        <v>39</v>
      </c>
      <c r="J194">
        <f t="shared" si="14"/>
        <v>8.2627118644067798E-2</v>
      </c>
      <c r="K194" s="73">
        <f t="shared" si="15"/>
        <v>39</v>
      </c>
      <c r="L194">
        <f>SUM(VLOOKUP(A194,BaseTable[[GEO.id2]:[MOE - 400% FPL and over - 65 years and over - No health insurance]],17,0),VLOOKUP(A194,BaseTable[[GEO.id2]:[MOE - 400% FPL and over - 65 years and over - No health insurance]],57,0),VLOOKUP(A194,BaseTable[[GEO.id2]:[MOE - 400% FPL and over - 65 years and over - No health insurance]],37,0))</f>
        <v>433</v>
      </c>
      <c r="M194">
        <f t="shared" si="16"/>
        <v>0.9173728813559322</v>
      </c>
      <c r="N194" s="73">
        <f t="shared" si="17"/>
        <v>433</v>
      </c>
    </row>
    <row r="195" spans="1:14" x14ac:dyDescent="0.3">
      <c r="A195">
        <v>21722</v>
      </c>
      <c r="B195" t="str">
        <f>VLOOKUP(A195,UninsuredTable[],3,0)</f>
        <v>Washington</v>
      </c>
      <c r="C195">
        <f>VLOOKUP(A195,UninsuredTable[],4,0)</f>
        <v>5663</v>
      </c>
      <c r="D195">
        <f>VLOOKUP(A195,UninsuredTable[],5,0)</f>
        <v>742</v>
      </c>
      <c r="E195" s="73">
        <v>742</v>
      </c>
      <c r="F195">
        <f>SUM(VLOOKUP(A195,BaseTable[[GEO.id2]:[MOE - 400% FPL and over - 65 years and over - No health insurance]],11,0),VLOOKUP(A195,BaseTable[[GEO.id2]:[MOE - 400% FPL and over - 65 years and over - No health insurance]],31,0),VLOOKUP(A195,BaseTable[[GEO.id2]:[MOE - 400% FPL and over - 65 years and over - No health insurance]],51,0))</f>
        <v>335</v>
      </c>
      <c r="G195">
        <f t="shared" ref="G195:G224" si="18">F195/D195</f>
        <v>0.45148247978436656</v>
      </c>
      <c r="H195" s="73">
        <f t="shared" ref="H195:H224" si="19">E195*G195</f>
        <v>335</v>
      </c>
      <c r="I195">
        <f>SUM(VLOOKUP(A195,BaseTable[[GEO.id2]:[MOE - 400% FPL and over - 65 years and over - No health insurance]],77,0),VLOOKUP(A195,BaseTable[[GEO.id2]:[MOE - 400% FPL and over - 65 years and over - No health insurance]],71,0))</f>
        <v>49</v>
      </c>
      <c r="J195">
        <f t="shared" ref="J195:J224" si="20">I195/D195</f>
        <v>6.6037735849056603E-2</v>
      </c>
      <c r="K195" s="73">
        <f t="shared" ref="K195:K224" si="21">E195*J195</f>
        <v>49</v>
      </c>
      <c r="L195">
        <f>SUM(VLOOKUP(A195,BaseTable[[GEO.id2]:[MOE - 400% FPL and over - 65 years and over - No health insurance]],17,0),VLOOKUP(A195,BaseTable[[GEO.id2]:[MOE - 400% FPL and over - 65 years and over - No health insurance]],57,0),VLOOKUP(A195,BaseTable[[GEO.id2]:[MOE - 400% FPL and over - 65 years and over - No health insurance]],37,0))</f>
        <v>358</v>
      </c>
      <c r="M195">
        <f t="shared" ref="M195:M224" si="22">L195/D195</f>
        <v>0.48247978436657685</v>
      </c>
      <c r="N195" s="73">
        <f t="shared" ref="N195:N224" si="23">E195*M195</f>
        <v>358</v>
      </c>
    </row>
    <row r="196" spans="1:14" x14ac:dyDescent="0.3">
      <c r="A196">
        <v>21740</v>
      </c>
      <c r="B196" t="str">
        <f>VLOOKUP(A196,UninsuredTable[],3,0)</f>
        <v>Washington</v>
      </c>
      <c r="C196">
        <f>VLOOKUP(A196,UninsuredTable[],4,0)</f>
        <v>56985</v>
      </c>
      <c r="D196">
        <f>VLOOKUP(A196,UninsuredTable[],5,0)</f>
        <v>4622</v>
      </c>
      <c r="E196" s="73">
        <v>3386.7399855617814</v>
      </c>
      <c r="F196">
        <f>SUM(VLOOKUP(A196,BaseTable[[GEO.id2]:[MOE - 400% FPL and over - 65 years and over - No health insurance]],11,0),VLOOKUP(A196,BaseTable[[GEO.id2]:[MOE - 400% FPL and over - 65 years and over - No health insurance]],31,0),VLOOKUP(A196,BaseTable[[GEO.id2]:[MOE - 400% FPL and over - 65 years and over - No health insurance]],51,0))</f>
        <v>430</v>
      </c>
      <c r="G196">
        <f t="shared" si="18"/>
        <v>9.3033318909562956E-2</v>
      </c>
      <c r="H196" s="73">
        <f t="shared" si="19"/>
        <v>315.07966114053784</v>
      </c>
      <c r="I196">
        <f>SUM(VLOOKUP(A196,BaseTable[[GEO.id2]:[MOE - 400% FPL and over - 65 years and over - No health insurance]],77,0),VLOOKUP(A196,BaseTable[[GEO.id2]:[MOE - 400% FPL and over - 65 years and over - No health insurance]],71,0))</f>
        <v>707</v>
      </c>
      <c r="J196">
        <f t="shared" si="20"/>
        <v>0.15296408481176979</v>
      </c>
      <c r="K196" s="73">
        <f t="shared" si="21"/>
        <v>518.04958238688437</v>
      </c>
      <c r="L196">
        <f>SUM(VLOOKUP(A196,BaseTable[[GEO.id2]:[MOE - 400% FPL and over - 65 years and over - No health insurance]],17,0),VLOOKUP(A196,BaseTable[[GEO.id2]:[MOE - 400% FPL and over - 65 years and over - No health insurance]],57,0),VLOOKUP(A196,BaseTable[[GEO.id2]:[MOE - 400% FPL and over - 65 years and over - No health insurance]],37,0))</f>
        <v>3450</v>
      </c>
      <c r="M196">
        <f t="shared" si="22"/>
        <v>0.74643011683254001</v>
      </c>
      <c r="N196" s="73">
        <f t="shared" si="23"/>
        <v>2527.9647231043155</v>
      </c>
    </row>
    <row r="197" spans="1:14" x14ac:dyDescent="0.3">
      <c r="A197">
        <v>21742</v>
      </c>
      <c r="B197" t="str">
        <f>VLOOKUP(A197,UninsuredTable[],3,0)</f>
        <v>Washington</v>
      </c>
      <c r="C197">
        <f>VLOOKUP(A197,UninsuredTable[],4,0)</f>
        <v>32735</v>
      </c>
      <c r="D197">
        <f>VLOOKUP(A197,UninsuredTable[],5,0)</f>
        <v>2167</v>
      </c>
      <c r="E197" s="73">
        <v>1540.9576909071163</v>
      </c>
      <c r="F197">
        <f>SUM(VLOOKUP(A197,BaseTable[[GEO.id2]:[MOE - 400% FPL and over - 65 years and over - No health insurance]],11,0),VLOOKUP(A197,BaseTable[[GEO.id2]:[MOE - 400% FPL and over - 65 years and over - No health insurance]],31,0),VLOOKUP(A197,BaseTable[[GEO.id2]:[MOE - 400% FPL and over - 65 years and over - No health insurance]],51,0))</f>
        <v>209</v>
      </c>
      <c r="G197">
        <f t="shared" si="18"/>
        <v>9.6446700507614211E-2</v>
      </c>
      <c r="H197" s="73">
        <f t="shared" si="19"/>
        <v>148.6202849098234</v>
      </c>
      <c r="I197">
        <f>SUM(VLOOKUP(A197,BaseTable[[GEO.id2]:[MOE - 400% FPL and over - 65 years and over - No health insurance]],77,0),VLOOKUP(A197,BaseTable[[GEO.id2]:[MOE - 400% FPL and over - 65 years and over - No health insurance]],71,0))</f>
        <v>465</v>
      </c>
      <c r="J197">
        <f t="shared" si="20"/>
        <v>0.21458237194277804</v>
      </c>
      <c r="K197" s="73">
        <f t="shared" si="21"/>
        <v>330.66235637831522</v>
      </c>
      <c r="L197">
        <f>SUM(VLOOKUP(A197,BaseTable[[GEO.id2]:[MOE - 400% FPL and over - 65 years and over - No health insurance]],17,0),VLOOKUP(A197,BaseTable[[GEO.id2]:[MOE - 400% FPL and over - 65 years and over - No health insurance]],57,0),VLOOKUP(A197,BaseTable[[GEO.id2]:[MOE - 400% FPL and over - 65 years and over - No health insurance]],37,0))</f>
        <v>1436</v>
      </c>
      <c r="M197">
        <f t="shared" si="22"/>
        <v>0.66266728195662206</v>
      </c>
      <c r="N197" s="73">
        <f t="shared" si="23"/>
        <v>1021.1422446435713</v>
      </c>
    </row>
    <row r="198" spans="1:14" x14ac:dyDescent="0.3">
      <c r="A198">
        <v>21757</v>
      </c>
      <c r="B198" t="str">
        <f>VLOOKUP(A198,UninsuredTable[],3,0)</f>
        <v>Carroll</v>
      </c>
      <c r="C198">
        <f>VLOOKUP(A198,UninsuredTable[],4,0)</f>
        <v>3331</v>
      </c>
      <c r="D198">
        <f>VLOOKUP(A198,UninsuredTable[],5,0)</f>
        <v>307</v>
      </c>
      <c r="E198" s="73">
        <v>307</v>
      </c>
      <c r="F198">
        <f>SUM(VLOOKUP(A198,BaseTable[[GEO.id2]:[MOE - 400% FPL and over - 65 years and over - No health insurance]],11,0),VLOOKUP(A198,BaseTable[[GEO.id2]:[MOE - 400% FPL and over - 65 years and over - No health insurance]],31,0),VLOOKUP(A198,BaseTable[[GEO.id2]:[MOE - 400% FPL and over - 65 years and over - No health insurance]],51,0))</f>
        <v>71</v>
      </c>
      <c r="G198">
        <f t="shared" si="18"/>
        <v>0.23127035830618892</v>
      </c>
      <c r="H198" s="73">
        <f t="shared" si="19"/>
        <v>71</v>
      </c>
      <c r="I198">
        <f>SUM(VLOOKUP(A198,BaseTable[[GEO.id2]:[MOE - 400% FPL and over - 65 years and over - No health insurance]],77,0),VLOOKUP(A198,BaseTable[[GEO.id2]:[MOE - 400% FPL and over - 65 years and over - No health insurance]],71,0))</f>
        <v>40</v>
      </c>
      <c r="J198">
        <f t="shared" si="20"/>
        <v>0.13029315960912052</v>
      </c>
      <c r="K198" s="73">
        <f t="shared" si="21"/>
        <v>40</v>
      </c>
      <c r="L198">
        <f>SUM(VLOOKUP(A198,BaseTable[[GEO.id2]:[MOE - 400% FPL and over - 65 years and over - No health insurance]],17,0),VLOOKUP(A198,BaseTable[[GEO.id2]:[MOE - 400% FPL and over - 65 years and over - No health insurance]],57,0),VLOOKUP(A198,BaseTable[[GEO.id2]:[MOE - 400% FPL and over - 65 years and over - No health insurance]],37,0))</f>
        <v>196</v>
      </c>
      <c r="M198">
        <f t="shared" si="22"/>
        <v>0.6384364820846905</v>
      </c>
      <c r="N198" s="73">
        <f t="shared" si="23"/>
        <v>195.99999999999997</v>
      </c>
    </row>
    <row r="199" spans="1:14" x14ac:dyDescent="0.3">
      <c r="A199">
        <v>21769</v>
      </c>
      <c r="B199" t="str">
        <f>VLOOKUP(A199,UninsuredTable[],3,0)</f>
        <v>Frederick</v>
      </c>
      <c r="C199">
        <f>VLOOKUP(A199,UninsuredTable[],4,0)</f>
        <v>11286</v>
      </c>
      <c r="D199">
        <f>VLOOKUP(A199,UninsuredTable[],5,0)</f>
        <v>289</v>
      </c>
      <c r="E199" s="73">
        <v>269</v>
      </c>
      <c r="F199">
        <f>SUM(VLOOKUP(A199,BaseTable[[GEO.id2]:[MOE - 400% FPL and over - 65 years and over - No health insurance]],11,0),VLOOKUP(A199,BaseTable[[GEO.id2]:[MOE - 400% FPL and over - 65 years and over - No health insurance]],31,0),VLOOKUP(A199,BaseTable[[GEO.id2]:[MOE - 400% FPL and over - 65 years and over - No health insurance]],51,0))</f>
        <v>61</v>
      </c>
      <c r="G199">
        <f t="shared" si="18"/>
        <v>0.21107266435986158</v>
      </c>
      <c r="H199" s="73">
        <f t="shared" si="19"/>
        <v>56.778546712802765</v>
      </c>
      <c r="I199">
        <f>SUM(VLOOKUP(A199,BaseTable[[GEO.id2]:[MOE - 400% FPL and over - 65 years and over - No health insurance]],77,0),VLOOKUP(A199,BaseTable[[GEO.id2]:[MOE - 400% FPL and over - 65 years and over - No health insurance]],71,0))</f>
        <v>62</v>
      </c>
      <c r="J199">
        <f t="shared" si="20"/>
        <v>0.21453287197231835</v>
      </c>
      <c r="K199" s="73">
        <f t="shared" si="21"/>
        <v>57.709342560553637</v>
      </c>
      <c r="L199">
        <f>SUM(VLOOKUP(A199,BaseTable[[GEO.id2]:[MOE - 400% FPL and over - 65 years and over - No health insurance]],17,0),VLOOKUP(A199,BaseTable[[GEO.id2]:[MOE - 400% FPL and over - 65 years and over - No health insurance]],57,0),VLOOKUP(A199,BaseTable[[GEO.id2]:[MOE - 400% FPL and over - 65 years and over - No health insurance]],37,0))</f>
        <v>146</v>
      </c>
      <c r="M199">
        <f t="shared" si="22"/>
        <v>0.50519031141868509</v>
      </c>
      <c r="N199" s="73">
        <f t="shared" si="23"/>
        <v>135.89619377162629</v>
      </c>
    </row>
    <row r="200" spans="1:14" x14ac:dyDescent="0.3">
      <c r="A200">
        <v>21771</v>
      </c>
      <c r="B200" t="str">
        <f>VLOOKUP(A200,UninsuredTable[],3,0)</f>
        <v>Frederick</v>
      </c>
      <c r="C200">
        <f>VLOOKUP(A200,UninsuredTable[],4,0)</f>
        <v>29162</v>
      </c>
      <c r="D200">
        <f>VLOOKUP(A200,UninsuredTable[],5,0)</f>
        <v>1034</v>
      </c>
      <c r="E200" s="73">
        <v>723.37241533517761</v>
      </c>
      <c r="F200">
        <f>SUM(VLOOKUP(A200,BaseTable[[GEO.id2]:[MOE - 400% FPL and over - 65 years and over - No health insurance]],11,0),VLOOKUP(A200,BaseTable[[GEO.id2]:[MOE - 400% FPL and over - 65 years and over - No health insurance]],31,0),VLOOKUP(A200,BaseTable[[GEO.id2]:[MOE - 400% FPL and over - 65 years and over - No health insurance]],51,0))</f>
        <v>85</v>
      </c>
      <c r="G200">
        <f t="shared" si="18"/>
        <v>8.2205029013539654E-2</v>
      </c>
      <c r="H200" s="73">
        <f t="shared" si="19"/>
        <v>59.46485039022253</v>
      </c>
      <c r="I200">
        <f>SUM(VLOOKUP(A200,BaseTable[[GEO.id2]:[MOE - 400% FPL and over - 65 years and over - No health insurance]],77,0),VLOOKUP(A200,BaseTable[[GEO.id2]:[MOE - 400% FPL and over - 65 years and over - No health insurance]],71,0))</f>
        <v>422</v>
      </c>
      <c r="J200">
        <f t="shared" si="20"/>
        <v>0.40812379110251451</v>
      </c>
      <c r="K200" s="73">
        <f t="shared" si="21"/>
        <v>295.22549252557536</v>
      </c>
      <c r="L200">
        <f>SUM(VLOOKUP(A200,BaseTable[[GEO.id2]:[MOE - 400% FPL and over - 65 years and over - No health insurance]],17,0),VLOOKUP(A200,BaseTable[[GEO.id2]:[MOE - 400% FPL and over - 65 years and over - No health insurance]],57,0),VLOOKUP(A200,BaseTable[[GEO.id2]:[MOE - 400% FPL and over - 65 years and over - No health insurance]],37,0))</f>
        <v>527</v>
      </c>
      <c r="M200">
        <f t="shared" si="22"/>
        <v>0.50967117988394584</v>
      </c>
      <c r="N200" s="73">
        <f t="shared" si="23"/>
        <v>368.68207241937967</v>
      </c>
    </row>
    <row r="201" spans="1:14" x14ac:dyDescent="0.3">
      <c r="A201">
        <v>21774</v>
      </c>
      <c r="B201" t="str">
        <f>VLOOKUP(A201,UninsuredTable[],3,0)</f>
        <v>Frederick</v>
      </c>
      <c r="C201">
        <f>VLOOKUP(A201,UninsuredTable[],4,0)</f>
        <v>12991</v>
      </c>
      <c r="D201">
        <f>VLOOKUP(A201,UninsuredTable[],5,0)</f>
        <v>285</v>
      </c>
      <c r="E201" s="73">
        <v>285</v>
      </c>
      <c r="F201">
        <f>SUM(VLOOKUP(A201,BaseTable[[GEO.id2]:[MOE - 400% FPL and over - 65 years and over - No health insurance]],11,0),VLOOKUP(A201,BaseTable[[GEO.id2]:[MOE - 400% FPL and over - 65 years and over - No health insurance]],31,0),VLOOKUP(A201,BaseTable[[GEO.id2]:[MOE - 400% FPL and over - 65 years and over - No health insurance]],51,0))</f>
        <v>37</v>
      </c>
      <c r="G201">
        <f t="shared" si="18"/>
        <v>0.12982456140350876</v>
      </c>
      <c r="H201" s="73">
        <f t="shared" si="19"/>
        <v>36.999999999999993</v>
      </c>
      <c r="I201">
        <f>SUM(VLOOKUP(A201,BaseTable[[GEO.id2]:[MOE - 400% FPL and over - 65 years and over - No health insurance]],77,0),VLOOKUP(A201,BaseTable[[GEO.id2]:[MOE - 400% FPL and over - 65 years and over - No health insurance]],71,0))</f>
        <v>49</v>
      </c>
      <c r="J201">
        <f t="shared" si="20"/>
        <v>0.17192982456140352</v>
      </c>
      <c r="K201" s="73">
        <f t="shared" si="21"/>
        <v>49</v>
      </c>
      <c r="L201">
        <f>SUM(VLOOKUP(A201,BaseTable[[GEO.id2]:[MOE - 400% FPL and over - 65 years and over - No health insurance]],17,0),VLOOKUP(A201,BaseTable[[GEO.id2]:[MOE - 400% FPL and over - 65 years and over - No health insurance]],57,0),VLOOKUP(A201,BaseTable[[GEO.id2]:[MOE - 400% FPL and over - 65 years and over - No health insurance]],37,0))</f>
        <v>199</v>
      </c>
      <c r="M201">
        <f t="shared" si="22"/>
        <v>0.69824561403508767</v>
      </c>
      <c r="N201" s="73">
        <f t="shared" si="23"/>
        <v>199</v>
      </c>
    </row>
    <row r="202" spans="1:14" x14ac:dyDescent="0.3">
      <c r="A202">
        <v>21783</v>
      </c>
      <c r="B202" t="str">
        <f>VLOOKUP(A202,UninsuredTable[],3,0)</f>
        <v>Washington</v>
      </c>
      <c r="C202">
        <f>VLOOKUP(A202,UninsuredTable[],4,0)</f>
        <v>8724</v>
      </c>
      <c r="D202">
        <f>VLOOKUP(A202,UninsuredTable[],5,0)</f>
        <v>569</v>
      </c>
      <c r="E202" s="73">
        <v>569</v>
      </c>
      <c r="F202">
        <f>SUM(VLOOKUP(A202,BaseTable[[GEO.id2]:[MOE - 400% FPL and over - 65 years and over - No health insurance]],11,0),VLOOKUP(A202,BaseTable[[GEO.id2]:[MOE - 400% FPL and over - 65 years and over - No health insurance]],31,0),VLOOKUP(A202,BaseTable[[GEO.id2]:[MOE - 400% FPL and over - 65 years and over - No health insurance]],51,0))</f>
        <v>73</v>
      </c>
      <c r="G202">
        <f t="shared" si="18"/>
        <v>0.12829525483304041</v>
      </c>
      <c r="H202" s="73">
        <f t="shared" si="19"/>
        <v>73</v>
      </c>
      <c r="I202">
        <f>SUM(VLOOKUP(A202,BaseTable[[GEO.id2]:[MOE - 400% FPL and over - 65 years and over - No health insurance]],77,0),VLOOKUP(A202,BaseTable[[GEO.id2]:[MOE - 400% FPL and over - 65 years and over - No health insurance]],71,0))</f>
        <v>246</v>
      </c>
      <c r="J202">
        <f t="shared" si="20"/>
        <v>0.43233743409490333</v>
      </c>
      <c r="K202" s="73">
        <f t="shared" si="21"/>
        <v>246</v>
      </c>
      <c r="L202">
        <f>SUM(VLOOKUP(A202,BaseTable[[GEO.id2]:[MOE - 400% FPL and over - 65 years and over - No health insurance]],17,0),VLOOKUP(A202,BaseTable[[GEO.id2]:[MOE - 400% FPL and over - 65 years and over - No health insurance]],57,0),VLOOKUP(A202,BaseTable[[GEO.id2]:[MOE - 400% FPL and over - 65 years and over - No health insurance]],37,0))</f>
        <v>250</v>
      </c>
      <c r="M202">
        <f t="shared" si="22"/>
        <v>0.43936731107205623</v>
      </c>
      <c r="N202" s="73">
        <f t="shared" si="23"/>
        <v>250</v>
      </c>
    </row>
    <row r="203" spans="1:14" x14ac:dyDescent="0.3">
      <c r="A203">
        <v>21784</v>
      </c>
      <c r="B203" t="str">
        <f>VLOOKUP(A203,UninsuredTable[],3,0)</f>
        <v>Carroll</v>
      </c>
      <c r="C203">
        <f>VLOOKUP(A203,UninsuredTable[],4,0)</f>
        <v>37985</v>
      </c>
      <c r="D203">
        <f>VLOOKUP(A203,UninsuredTable[],5,0)</f>
        <v>869</v>
      </c>
      <c r="E203" s="73">
        <v>858</v>
      </c>
      <c r="F203">
        <f>SUM(VLOOKUP(A203,BaseTable[[GEO.id2]:[MOE - 400% FPL and over - 65 years and over - No health insurance]],11,0),VLOOKUP(A203,BaseTable[[GEO.id2]:[MOE - 400% FPL and over - 65 years and over - No health insurance]],31,0),VLOOKUP(A203,BaseTable[[GEO.id2]:[MOE - 400% FPL and over - 65 years and over - No health insurance]],51,0))</f>
        <v>9</v>
      </c>
      <c r="G203">
        <f t="shared" si="18"/>
        <v>1.0356731875719217E-2</v>
      </c>
      <c r="H203" s="73">
        <f t="shared" si="19"/>
        <v>8.886075949367088</v>
      </c>
      <c r="I203">
        <f>SUM(VLOOKUP(A203,BaseTable[[GEO.id2]:[MOE - 400% FPL and over - 65 years and over - No health insurance]],77,0),VLOOKUP(A203,BaseTable[[GEO.id2]:[MOE - 400% FPL and over - 65 years and over - No health insurance]],71,0))</f>
        <v>400</v>
      </c>
      <c r="J203">
        <f t="shared" si="20"/>
        <v>0.46029919447640966</v>
      </c>
      <c r="K203" s="73">
        <f t="shared" si="21"/>
        <v>394.9367088607595</v>
      </c>
      <c r="L203">
        <f>SUM(VLOOKUP(A203,BaseTable[[GEO.id2]:[MOE - 400% FPL and over - 65 years and over - No health insurance]],17,0),VLOOKUP(A203,BaseTable[[GEO.id2]:[MOE - 400% FPL and over - 65 years and over - No health insurance]],57,0),VLOOKUP(A203,BaseTable[[GEO.id2]:[MOE - 400% FPL and over - 65 years and over - No health insurance]],37,0))</f>
        <v>449</v>
      </c>
      <c r="M203">
        <f t="shared" si="22"/>
        <v>0.51668584579976984</v>
      </c>
      <c r="N203" s="73">
        <f t="shared" si="23"/>
        <v>443.31645569620252</v>
      </c>
    </row>
    <row r="204" spans="1:14" x14ac:dyDescent="0.3">
      <c r="A204">
        <v>21787</v>
      </c>
      <c r="B204" t="str">
        <f>VLOOKUP(A204,UninsuredTable[],3,0)</f>
        <v>Carroll</v>
      </c>
      <c r="C204">
        <f>VLOOKUP(A204,UninsuredTable[],4,0)</f>
        <v>10136</v>
      </c>
      <c r="D204">
        <f>VLOOKUP(A204,UninsuredTable[],5,0)</f>
        <v>681</v>
      </c>
      <c r="E204" s="73">
        <v>681</v>
      </c>
      <c r="F204">
        <f>SUM(VLOOKUP(A204,BaseTable[[GEO.id2]:[MOE - 400% FPL and over - 65 years and over - No health insurance]],11,0),VLOOKUP(A204,BaseTable[[GEO.id2]:[MOE - 400% FPL and over - 65 years and over - No health insurance]],31,0),VLOOKUP(A204,BaseTable[[GEO.id2]:[MOE - 400% FPL and over - 65 years and over - No health insurance]],51,0))</f>
        <v>31</v>
      </c>
      <c r="G204">
        <f t="shared" si="18"/>
        <v>4.552129221732746E-2</v>
      </c>
      <c r="H204" s="73">
        <f t="shared" si="19"/>
        <v>31</v>
      </c>
      <c r="I204">
        <f>SUM(VLOOKUP(A204,BaseTable[[GEO.id2]:[MOE - 400% FPL and over - 65 years and over - No health insurance]],77,0),VLOOKUP(A204,BaseTable[[GEO.id2]:[MOE - 400% FPL and over - 65 years and over - No health insurance]],71,0))</f>
        <v>245</v>
      </c>
      <c r="J204">
        <f t="shared" si="20"/>
        <v>0.35976505139500736</v>
      </c>
      <c r="K204" s="73">
        <f t="shared" si="21"/>
        <v>245</v>
      </c>
      <c r="L204">
        <f>SUM(VLOOKUP(A204,BaseTable[[GEO.id2]:[MOE - 400% FPL and over - 65 years and over - No health insurance]],17,0),VLOOKUP(A204,BaseTable[[GEO.id2]:[MOE - 400% FPL and over - 65 years and over - No health insurance]],57,0),VLOOKUP(A204,BaseTable[[GEO.id2]:[MOE - 400% FPL and over - 65 years and over - No health insurance]],37,0))</f>
        <v>405</v>
      </c>
      <c r="M204">
        <f t="shared" si="22"/>
        <v>0.59471365638766516</v>
      </c>
      <c r="N204" s="73">
        <f t="shared" si="23"/>
        <v>405</v>
      </c>
    </row>
    <row r="205" spans="1:14" x14ac:dyDescent="0.3">
      <c r="A205">
        <v>21788</v>
      </c>
      <c r="B205" t="str">
        <f>VLOOKUP(A205,UninsuredTable[],3,0)</f>
        <v>Frederick</v>
      </c>
      <c r="C205">
        <f>VLOOKUP(A205,UninsuredTable[],4,0)</f>
        <v>11702</v>
      </c>
      <c r="D205">
        <f>VLOOKUP(A205,UninsuredTable[],5,0)</f>
        <v>799</v>
      </c>
      <c r="E205" s="73">
        <v>799</v>
      </c>
      <c r="F205">
        <f>SUM(VLOOKUP(A205,BaseTable[[GEO.id2]:[MOE - 400% FPL and over - 65 years and over - No health insurance]],11,0),VLOOKUP(A205,BaseTable[[GEO.id2]:[MOE - 400% FPL and over - 65 years and over - No health insurance]],31,0),VLOOKUP(A205,BaseTable[[GEO.id2]:[MOE - 400% FPL and over - 65 years and over - No health insurance]],51,0))</f>
        <v>43</v>
      </c>
      <c r="G205">
        <f t="shared" si="18"/>
        <v>5.3817271589486862E-2</v>
      </c>
      <c r="H205" s="73">
        <f t="shared" si="19"/>
        <v>43</v>
      </c>
      <c r="I205">
        <f>SUM(VLOOKUP(A205,BaseTable[[GEO.id2]:[MOE - 400% FPL and over - 65 years and over - No health insurance]],77,0),VLOOKUP(A205,BaseTable[[GEO.id2]:[MOE - 400% FPL and over - 65 years and over - No health insurance]],71,0))</f>
        <v>197</v>
      </c>
      <c r="J205">
        <f t="shared" si="20"/>
        <v>0.24655819774718399</v>
      </c>
      <c r="K205" s="73">
        <f t="shared" si="21"/>
        <v>197</v>
      </c>
      <c r="L205">
        <f>SUM(VLOOKUP(A205,BaseTable[[GEO.id2]:[MOE - 400% FPL and over - 65 years and over - No health insurance]],17,0),VLOOKUP(A205,BaseTable[[GEO.id2]:[MOE - 400% FPL and over - 65 years and over - No health insurance]],57,0),VLOOKUP(A205,BaseTable[[GEO.id2]:[MOE - 400% FPL and over - 65 years and over - No health insurance]],37,0))</f>
        <v>559</v>
      </c>
      <c r="M205">
        <f t="shared" si="22"/>
        <v>0.69962453066332919</v>
      </c>
      <c r="N205" s="73">
        <f t="shared" si="23"/>
        <v>559</v>
      </c>
    </row>
    <row r="206" spans="1:14" x14ac:dyDescent="0.3">
      <c r="A206">
        <v>21791</v>
      </c>
      <c r="B206" t="str">
        <f>VLOOKUP(A206,UninsuredTable[],3,0)</f>
        <v>Carroll</v>
      </c>
      <c r="C206">
        <f>VLOOKUP(A206,UninsuredTable[],4,0)</f>
        <v>5497</v>
      </c>
      <c r="D206">
        <f>VLOOKUP(A206,UninsuredTable[],5,0)</f>
        <v>253</v>
      </c>
      <c r="E206" s="73">
        <v>253</v>
      </c>
      <c r="F206">
        <f>SUM(VLOOKUP(A206,BaseTable[[GEO.id2]:[MOE - 400% FPL and over - 65 years and over - No health insurance]],11,0),VLOOKUP(A206,BaseTable[[GEO.id2]:[MOE - 400% FPL and over - 65 years and over - No health insurance]],31,0),VLOOKUP(A206,BaseTable[[GEO.id2]:[MOE - 400% FPL and over - 65 years and over - No health insurance]],51,0))</f>
        <v>22</v>
      </c>
      <c r="G206">
        <f t="shared" si="18"/>
        <v>8.6956521739130432E-2</v>
      </c>
      <c r="H206" s="73">
        <f t="shared" si="19"/>
        <v>22</v>
      </c>
      <c r="I206">
        <f>SUM(VLOOKUP(A206,BaseTable[[GEO.id2]:[MOE - 400% FPL and over - 65 years and over - No health insurance]],77,0),VLOOKUP(A206,BaseTable[[GEO.id2]:[MOE - 400% FPL and over - 65 years and over - No health insurance]],71,0))</f>
        <v>35</v>
      </c>
      <c r="J206">
        <f t="shared" si="20"/>
        <v>0.13833992094861661</v>
      </c>
      <c r="K206" s="73">
        <f t="shared" si="21"/>
        <v>35</v>
      </c>
      <c r="L206">
        <f>SUM(VLOOKUP(A206,BaseTable[[GEO.id2]:[MOE - 400% FPL and over - 65 years and over - No health insurance]],17,0),VLOOKUP(A206,BaseTable[[GEO.id2]:[MOE - 400% FPL and over - 65 years and over - No health insurance]],57,0),VLOOKUP(A206,BaseTable[[GEO.id2]:[MOE - 400% FPL and over - 65 years and over - No health insurance]],37,0))</f>
        <v>196</v>
      </c>
      <c r="M206">
        <f t="shared" si="22"/>
        <v>0.77470355731225293</v>
      </c>
      <c r="N206" s="73">
        <f t="shared" si="23"/>
        <v>196</v>
      </c>
    </row>
    <row r="207" spans="1:14" x14ac:dyDescent="0.3">
      <c r="A207">
        <v>21793</v>
      </c>
      <c r="B207" t="str">
        <f>VLOOKUP(A207,UninsuredTable[],3,0)</f>
        <v>Frederick</v>
      </c>
      <c r="C207">
        <f>VLOOKUP(A207,UninsuredTable[],4,0)</f>
        <v>9854</v>
      </c>
      <c r="D207">
        <f>VLOOKUP(A207,UninsuredTable[],5,0)</f>
        <v>571</v>
      </c>
      <c r="E207" s="73">
        <v>571</v>
      </c>
      <c r="F207">
        <f>SUM(VLOOKUP(A207,BaseTable[[GEO.id2]:[MOE - 400% FPL and over - 65 years and over - No health insurance]],11,0),VLOOKUP(A207,BaseTable[[GEO.id2]:[MOE - 400% FPL and over - 65 years and over - No health insurance]],31,0),VLOOKUP(A207,BaseTable[[GEO.id2]:[MOE - 400% FPL and over - 65 years and over - No health insurance]],51,0))</f>
        <v>34</v>
      </c>
      <c r="G207">
        <f t="shared" si="18"/>
        <v>5.9544658493870403E-2</v>
      </c>
      <c r="H207" s="73">
        <f t="shared" si="19"/>
        <v>34</v>
      </c>
      <c r="I207">
        <f>SUM(VLOOKUP(A207,BaseTable[[GEO.id2]:[MOE - 400% FPL and over - 65 years and over - No health insurance]],77,0),VLOOKUP(A207,BaseTable[[GEO.id2]:[MOE - 400% FPL and over - 65 years and over - No health insurance]],71,0))</f>
        <v>166</v>
      </c>
      <c r="J207">
        <f t="shared" si="20"/>
        <v>0.29071803852889666</v>
      </c>
      <c r="K207" s="73">
        <f t="shared" si="21"/>
        <v>166</v>
      </c>
      <c r="L207">
        <f>SUM(VLOOKUP(A207,BaseTable[[GEO.id2]:[MOE - 400% FPL and over - 65 years and over - No health insurance]],17,0),VLOOKUP(A207,BaseTable[[GEO.id2]:[MOE - 400% FPL and over - 65 years and over - No health insurance]],57,0),VLOOKUP(A207,BaseTable[[GEO.id2]:[MOE - 400% FPL and over - 65 years and over - No health insurance]],37,0))</f>
        <v>371</v>
      </c>
      <c r="M207">
        <f t="shared" si="22"/>
        <v>0.64973730297723298</v>
      </c>
      <c r="N207" s="73">
        <f t="shared" si="23"/>
        <v>371.00000000000006</v>
      </c>
    </row>
    <row r="208" spans="1:14" x14ac:dyDescent="0.3">
      <c r="A208">
        <v>21795</v>
      </c>
      <c r="B208" t="str">
        <f>VLOOKUP(A208,UninsuredTable[],3,0)</f>
        <v>Washington</v>
      </c>
      <c r="C208">
        <f>VLOOKUP(A208,UninsuredTable[],4,0)</f>
        <v>8789</v>
      </c>
      <c r="D208">
        <f>VLOOKUP(A208,UninsuredTable[],5,0)</f>
        <v>463</v>
      </c>
      <c r="E208" s="73">
        <v>463</v>
      </c>
      <c r="F208">
        <f>SUM(VLOOKUP(A208,BaseTable[[GEO.id2]:[MOE - 400% FPL and over - 65 years and over - No health insurance]],11,0),VLOOKUP(A208,BaseTable[[GEO.id2]:[MOE - 400% FPL and over - 65 years and over - No health insurance]],31,0),VLOOKUP(A208,BaseTable[[GEO.id2]:[MOE - 400% FPL and over - 65 years and over - No health insurance]],51,0))</f>
        <v>71</v>
      </c>
      <c r="G208">
        <f t="shared" si="18"/>
        <v>0.15334773218142547</v>
      </c>
      <c r="H208" s="73">
        <f t="shared" si="19"/>
        <v>71</v>
      </c>
      <c r="I208">
        <f>SUM(VLOOKUP(A208,BaseTable[[GEO.id2]:[MOE - 400% FPL and over - 65 years and over - No health insurance]],77,0),VLOOKUP(A208,BaseTable[[GEO.id2]:[MOE - 400% FPL and over - 65 years and over - No health insurance]],71,0))</f>
        <v>94</v>
      </c>
      <c r="J208">
        <f t="shared" si="20"/>
        <v>0.20302375809935205</v>
      </c>
      <c r="K208" s="73">
        <f t="shared" si="21"/>
        <v>94</v>
      </c>
      <c r="L208">
        <f>SUM(VLOOKUP(A208,BaseTable[[GEO.id2]:[MOE - 400% FPL and over - 65 years and over - No health insurance]],17,0),VLOOKUP(A208,BaseTable[[GEO.id2]:[MOE - 400% FPL and over - 65 years and over - No health insurance]],57,0),VLOOKUP(A208,BaseTable[[GEO.id2]:[MOE - 400% FPL and over - 65 years and over - No health insurance]],37,0))</f>
        <v>298</v>
      </c>
      <c r="M208">
        <f t="shared" si="22"/>
        <v>0.64362850971922247</v>
      </c>
      <c r="N208" s="73">
        <f t="shared" si="23"/>
        <v>298</v>
      </c>
    </row>
    <row r="209" spans="1:14" x14ac:dyDescent="0.3">
      <c r="A209">
        <v>21797</v>
      </c>
      <c r="B209" t="str">
        <f>VLOOKUP(A209,UninsuredTable[],3,0)</f>
        <v>Howard</v>
      </c>
      <c r="C209">
        <f>VLOOKUP(A209,UninsuredTable[],4,0)</f>
        <v>8278</v>
      </c>
      <c r="D209">
        <f>VLOOKUP(A209,UninsuredTable[],5,0)</f>
        <v>311</v>
      </c>
      <c r="E209" s="73">
        <v>311</v>
      </c>
      <c r="F209">
        <f>SUM(VLOOKUP(A209,BaseTable[[GEO.id2]:[MOE - 400% FPL and over - 65 years and over - No health insurance]],11,0),VLOOKUP(A209,BaseTable[[GEO.id2]:[MOE - 400% FPL and over - 65 years and over - No health insurance]],31,0),VLOOKUP(A209,BaseTable[[GEO.id2]:[MOE - 400% FPL and over - 65 years and over - No health insurance]],51,0))</f>
        <v>39</v>
      </c>
      <c r="G209">
        <f t="shared" si="18"/>
        <v>0.12540192926045016</v>
      </c>
      <c r="H209" s="73">
        <f t="shared" si="19"/>
        <v>39</v>
      </c>
      <c r="I209">
        <f>SUM(VLOOKUP(A209,BaseTable[[GEO.id2]:[MOE - 400% FPL and over - 65 years and over - No health insurance]],77,0),VLOOKUP(A209,BaseTable[[GEO.id2]:[MOE - 400% FPL and over - 65 years and over - No health insurance]],71,0))</f>
        <v>184</v>
      </c>
      <c r="J209">
        <f t="shared" si="20"/>
        <v>0.59163987138263663</v>
      </c>
      <c r="K209" s="73">
        <f t="shared" si="21"/>
        <v>184</v>
      </c>
      <c r="L209">
        <f>SUM(VLOOKUP(A209,BaseTable[[GEO.id2]:[MOE - 400% FPL and over - 65 years and over - No health insurance]],17,0),VLOOKUP(A209,BaseTable[[GEO.id2]:[MOE - 400% FPL and over - 65 years and over - No health insurance]],57,0),VLOOKUP(A209,BaseTable[[GEO.id2]:[MOE - 400% FPL and over - 65 years and over - No health insurance]],37,0))</f>
        <v>88</v>
      </c>
      <c r="M209">
        <f t="shared" si="22"/>
        <v>0.28295819935691319</v>
      </c>
      <c r="N209" s="73">
        <f t="shared" si="23"/>
        <v>88</v>
      </c>
    </row>
    <row r="210" spans="1:14" x14ac:dyDescent="0.3">
      <c r="A210">
        <v>21801</v>
      </c>
      <c r="B210" t="str">
        <f>VLOOKUP(A210,UninsuredTable[],3,0)</f>
        <v>Wicomico</v>
      </c>
      <c r="C210">
        <f>VLOOKUP(A210,UninsuredTable[],4,0)</f>
        <v>28044</v>
      </c>
      <c r="D210">
        <f>VLOOKUP(A210,UninsuredTable[],5,0)</f>
        <v>2557</v>
      </c>
      <c r="E210" s="73">
        <v>1577.5340237272328</v>
      </c>
      <c r="F210">
        <f>SUM(VLOOKUP(A210,BaseTable[[GEO.id2]:[MOE - 400% FPL and over - 65 years and over - No health insurance]],11,0),VLOOKUP(A210,BaseTable[[GEO.id2]:[MOE - 400% FPL and over - 65 years and over - No health insurance]],31,0),VLOOKUP(A210,BaseTable[[GEO.id2]:[MOE - 400% FPL and over - 65 years and over - No health insurance]],51,0))</f>
        <v>287</v>
      </c>
      <c r="G210">
        <f t="shared" si="18"/>
        <v>0.11224090731325773</v>
      </c>
      <c r="H210" s="73">
        <f t="shared" si="19"/>
        <v>177.06385014067885</v>
      </c>
      <c r="I210">
        <f>SUM(VLOOKUP(A210,BaseTable[[GEO.id2]:[MOE - 400% FPL and over - 65 years and over - No health insurance]],77,0),VLOOKUP(A210,BaseTable[[GEO.id2]:[MOE - 400% FPL and over - 65 years and over - No health insurance]],71,0))</f>
        <v>616</v>
      </c>
      <c r="J210">
        <f t="shared" si="20"/>
        <v>0.24090731325772388</v>
      </c>
      <c r="K210" s="73">
        <f t="shared" si="21"/>
        <v>380.03948322877409</v>
      </c>
      <c r="L210">
        <f>SUM(VLOOKUP(A210,BaseTable[[GEO.id2]:[MOE - 400% FPL and over - 65 years and over - No health insurance]],17,0),VLOOKUP(A210,BaseTable[[GEO.id2]:[MOE - 400% FPL and over - 65 years and over - No health insurance]],57,0),VLOOKUP(A210,BaseTable[[GEO.id2]:[MOE - 400% FPL and over - 65 years and over - No health insurance]],37,0))</f>
        <v>1654</v>
      </c>
      <c r="M210">
        <f t="shared" si="22"/>
        <v>0.64685177942901839</v>
      </c>
      <c r="N210" s="73">
        <f t="shared" si="23"/>
        <v>1020.4306903577799</v>
      </c>
    </row>
    <row r="211" spans="1:14" x14ac:dyDescent="0.3">
      <c r="A211">
        <v>21804</v>
      </c>
      <c r="B211" t="str">
        <f>VLOOKUP(A211,UninsuredTable[],3,0)</f>
        <v>Wicomico</v>
      </c>
      <c r="C211">
        <f>VLOOKUP(A211,UninsuredTable[],4,0)</f>
        <v>39389</v>
      </c>
      <c r="D211">
        <f>VLOOKUP(A211,UninsuredTable[],5,0)</f>
        <v>3225</v>
      </c>
      <c r="E211" s="73">
        <v>1975.5452088750328</v>
      </c>
      <c r="F211">
        <f>SUM(VLOOKUP(A211,BaseTable[[GEO.id2]:[MOE - 400% FPL and over - 65 years and over - No health insurance]],11,0),VLOOKUP(A211,BaseTable[[GEO.id2]:[MOE - 400% FPL and over - 65 years and over - No health insurance]],31,0),VLOOKUP(A211,BaseTable[[GEO.id2]:[MOE - 400% FPL and over - 65 years and over - No health insurance]],51,0))</f>
        <v>373</v>
      </c>
      <c r="G211">
        <f t="shared" si="18"/>
        <v>0.11565891472868217</v>
      </c>
      <c r="H211" s="73">
        <f t="shared" si="19"/>
        <v>228.48941485593403</v>
      </c>
      <c r="I211">
        <f>SUM(VLOOKUP(A211,BaseTable[[GEO.id2]:[MOE - 400% FPL and over - 65 years and over - No health insurance]],77,0),VLOOKUP(A211,BaseTable[[GEO.id2]:[MOE - 400% FPL and over - 65 years and over - No health insurance]],71,0))</f>
        <v>478</v>
      </c>
      <c r="J211">
        <f t="shared" si="20"/>
        <v>0.14821705426356588</v>
      </c>
      <c r="K211" s="73">
        <f t="shared" si="21"/>
        <v>292.80949142395832</v>
      </c>
      <c r="L211">
        <f>SUM(VLOOKUP(A211,BaseTable[[GEO.id2]:[MOE - 400% FPL and over - 65 years and over - No health insurance]],17,0),VLOOKUP(A211,BaseTable[[GEO.id2]:[MOE - 400% FPL and over - 65 years and over - No health insurance]],57,0),VLOOKUP(A211,BaseTable[[GEO.id2]:[MOE - 400% FPL and over - 65 years and over - No health insurance]],37,0))</f>
        <v>2334</v>
      </c>
      <c r="M211">
        <f t="shared" si="22"/>
        <v>0.72372093023255812</v>
      </c>
      <c r="N211" s="73">
        <f t="shared" si="23"/>
        <v>1429.743416283512</v>
      </c>
    </row>
    <row r="212" spans="1:14" x14ac:dyDescent="0.3">
      <c r="A212">
        <v>21811</v>
      </c>
      <c r="B212" t="str">
        <f>VLOOKUP(A212,UninsuredTable[],3,0)</f>
        <v>Worcester</v>
      </c>
      <c r="C212">
        <f>VLOOKUP(A212,UninsuredTable[],4,0)</f>
        <v>22671</v>
      </c>
      <c r="D212">
        <f>VLOOKUP(A212,UninsuredTable[],5,0)</f>
        <v>1512</v>
      </c>
      <c r="E212" s="73">
        <v>1157.9668227612774</v>
      </c>
      <c r="F212">
        <f>SUM(VLOOKUP(A212,BaseTable[[GEO.id2]:[MOE - 400% FPL and over - 65 years and over - No health insurance]],11,0),VLOOKUP(A212,BaseTable[[GEO.id2]:[MOE - 400% FPL and over - 65 years and over - No health insurance]],31,0),VLOOKUP(A212,BaseTable[[GEO.id2]:[MOE - 400% FPL and over - 65 years and over - No health insurance]],51,0))</f>
        <v>156</v>
      </c>
      <c r="G212">
        <f t="shared" si="18"/>
        <v>0.10317460317460317</v>
      </c>
      <c r="H212" s="73">
        <f t="shared" si="19"/>
        <v>119.47276742775084</v>
      </c>
      <c r="I212">
        <f>SUM(VLOOKUP(A212,BaseTable[[GEO.id2]:[MOE - 400% FPL and over - 65 years and over - No health insurance]],77,0),VLOOKUP(A212,BaseTable[[GEO.id2]:[MOE - 400% FPL and over - 65 years and over - No health insurance]],71,0))</f>
        <v>500</v>
      </c>
      <c r="J212">
        <f t="shared" si="20"/>
        <v>0.3306878306878307</v>
      </c>
      <c r="K212" s="73">
        <f t="shared" si="21"/>
        <v>382.92553662740659</v>
      </c>
      <c r="L212">
        <f>SUM(VLOOKUP(A212,BaseTable[[GEO.id2]:[MOE - 400% FPL and over - 65 years and over - No health insurance]],17,0),VLOOKUP(A212,BaseTable[[GEO.id2]:[MOE - 400% FPL and over - 65 years and over - No health insurance]],57,0),VLOOKUP(A212,BaseTable[[GEO.id2]:[MOE - 400% FPL and over - 65 years and over - No health insurance]],37,0))</f>
        <v>856</v>
      </c>
      <c r="M212">
        <f t="shared" si="22"/>
        <v>0.56613756613756616</v>
      </c>
      <c r="N212" s="73">
        <f t="shared" si="23"/>
        <v>655.56851870612002</v>
      </c>
    </row>
    <row r="213" spans="1:14" x14ac:dyDescent="0.3">
      <c r="A213">
        <v>21817</v>
      </c>
      <c r="B213" t="str">
        <f>VLOOKUP(A213,UninsuredTable[],3,0)</f>
        <v>Somerset</v>
      </c>
      <c r="C213">
        <f>VLOOKUP(A213,UninsuredTable[],4,0)</f>
        <v>4909</v>
      </c>
      <c r="D213">
        <f>VLOOKUP(A213,UninsuredTable[],5,0)</f>
        <v>397</v>
      </c>
      <c r="E213" s="73">
        <v>397</v>
      </c>
      <c r="F213">
        <f>SUM(VLOOKUP(A213,BaseTable[[GEO.id2]:[MOE - 400% FPL and over - 65 years and over - No health insurance]],11,0),VLOOKUP(A213,BaseTable[[GEO.id2]:[MOE - 400% FPL and over - 65 years and over - No health insurance]],31,0),VLOOKUP(A213,BaseTable[[GEO.id2]:[MOE - 400% FPL and over - 65 years and over - No health insurance]],51,0))</f>
        <v>23</v>
      </c>
      <c r="G213">
        <f t="shared" si="18"/>
        <v>5.793450881612091E-2</v>
      </c>
      <c r="H213" s="73">
        <f t="shared" si="19"/>
        <v>23</v>
      </c>
      <c r="I213">
        <f>SUM(VLOOKUP(A213,BaseTable[[GEO.id2]:[MOE - 400% FPL and over - 65 years and over - No health insurance]],77,0),VLOOKUP(A213,BaseTable[[GEO.id2]:[MOE - 400% FPL and over - 65 years and over - No health insurance]],71,0))</f>
        <v>36</v>
      </c>
      <c r="J213">
        <f t="shared" si="20"/>
        <v>9.06801007556675E-2</v>
      </c>
      <c r="K213" s="73">
        <f t="shared" si="21"/>
        <v>36</v>
      </c>
      <c r="L213">
        <f>SUM(VLOOKUP(A213,BaseTable[[GEO.id2]:[MOE - 400% FPL and over - 65 years and over - No health insurance]],17,0),VLOOKUP(A213,BaseTable[[GEO.id2]:[MOE - 400% FPL and over - 65 years and over - No health insurance]],57,0),VLOOKUP(A213,BaseTable[[GEO.id2]:[MOE - 400% FPL and over - 65 years and over - No health insurance]],37,0))</f>
        <v>338</v>
      </c>
      <c r="M213">
        <f t="shared" si="22"/>
        <v>0.8513853904282116</v>
      </c>
      <c r="N213" s="73">
        <f t="shared" si="23"/>
        <v>338</v>
      </c>
    </row>
    <row r="214" spans="1:14" x14ac:dyDescent="0.3">
      <c r="A214">
        <v>21822</v>
      </c>
      <c r="B214" t="str">
        <f>VLOOKUP(A214,UninsuredTable[],3,0)</f>
        <v>Worcester</v>
      </c>
      <c r="C214">
        <f>VLOOKUP(A214,UninsuredTable[],4,0)</f>
        <v>2323</v>
      </c>
      <c r="D214">
        <f>VLOOKUP(A214,UninsuredTable[],5,0)</f>
        <v>447</v>
      </c>
      <c r="E214" s="73">
        <v>440</v>
      </c>
      <c r="F214">
        <f>SUM(VLOOKUP(A214,BaseTable[[GEO.id2]:[MOE - 400% FPL and over - 65 years and over - No health insurance]],11,0),VLOOKUP(A214,BaseTable[[GEO.id2]:[MOE - 400% FPL and over - 65 years and over - No health insurance]],31,0),VLOOKUP(A214,BaseTable[[GEO.id2]:[MOE - 400% FPL and over - 65 years and over - No health insurance]],51,0))</f>
        <v>33</v>
      </c>
      <c r="G214">
        <f t="shared" si="18"/>
        <v>7.3825503355704702E-2</v>
      </c>
      <c r="H214" s="73">
        <f t="shared" si="19"/>
        <v>32.483221476510067</v>
      </c>
      <c r="I214">
        <f>SUM(VLOOKUP(A214,BaseTable[[GEO.id2]:[MOE - 400% FPL and over - 65 years and over - No health insurance]],77,0),VLOOKUP(A214,BaseTable[[GEO.id2]:[MOE - 400% FPL and over - 65 years and over - No health insurance]],71,0))</f>
        <v>157</v>
      </c>
      <c r="J214">
        <f t="shared" si="20"/>
        <v>0.35123042505592839</v>
      </c>
      <c r="K214" s="73">
        <f t="shared" si="21"/>
        <v>154.5413870246085</v>
      </c>
      <c r="L214">
        <f>SUM(VLOOKUP(A214,BaseTable[[GEO.id2]:[MOE - 400% FPL and over - 65 years and over - No health insurance]],17,0),VLOOKUP(A214,BaseTable[[GEO.id2]:[MOE - 400% FPL and over - 65 years and over - No health insurance]],57,0),VLOOKUP(A214,BaseTable[[GEO.id2]:[MOE - 400% FPL and over - 65 years and over - No health insurance]],37,0))</f>
        <v>250</v>
      </c>
      <c r="M214">
        <f t="shared" si="22"/>
        <v>0.5592841163310962</v>
      </c>
      <c r="N214" s="73">
        <f t="shared" si="23"/>
        <v>246.08501118568233</v>
      </c>
    </row>
    <row r="215" spans="1:14" x14ac:dyDescent="0.3">
      <c r="A215">
        <v>21826</v>
      </c>
      <c r="B215" t="str">
        <f>VLOOKUP(A215,UninsuredTable[],3,0)</f>
        <v>Wicomico</v>
      </c>
      <c r="C215">
        <f>VLOOKUP(A215,UninsuredTable[],4,0)</f>
        <v>5304</v>
      </c>
      <c r="D215">
        <f>VLOOKUP(A215,UninsuredTable[],5,0)</f>
        <v>558</v>
      </c>
      <c r="E215" s="73">
        <v>548</v>
      </c>
      <c r="F215">
        <f>SUM(VLOOKUP(A215,BaseTable[[GEO.id2]:[MOE - 400% FPL and over - 65 years and over - No health insurance]],11,0),VLOOKUP(A215,BaseTable[[GEO.id2]:[MOE - 400% FPL and over - 65 years and over - No health insurance]],31,0),VLOOKUP(A215,BaseTable[[GEO.id2]:[MOE - 400% FPL and over - 65 years and over - No health insurance]],51,0))</f>
        <v>67</v>
      </c>
      <c r="G215">
        <f t="shared" si="18"/>
        <v>0.12007168458781362</v>
      </c>
      <c r="H215" s="73">
        <f t="shared" si="19"/>
        <v>65.799283154121866</v>
      </c>
      <c r="I215">
        <f>SUM(VLOOKUP(A215,BaseTable[[GEO.id2]:[MOE - 400% FPL and over - 65 years and over - No health insurance]],77,0),VLOOKUP(A215,BaseTable[[GEO.id2]:[MOE - 400% FPL and over - 65 years and over - No health insurance]],71,0))</f>
        <v>70</v>
      </c>
      <c r="J215">
        <f t="shared" si="20"/>
        <v>0.12544802867383512</v>
      </c>
      <c r="K215" s="73">
        <f t="shared" si="21"/>
        <v>68.745519713261643</v>
      </c>
      <c r="L215">
        <f>SUM(VLOOKUP(A215,BaseTable[[GEO.id2]:[MOE - 400% FPL and over - 65 years and over - No health insurance]],17,0),VLOOKUP(A215,BaseTable[[GEO.id2]:[MOE - 400% FPL and over - 65 years and over - No health insurance]],57,0),VLOOKUP(A215,BaseTable[[GEO.id2]:[MOE - 400% FPL and over - 65 years and over - No health insurance]],37,0))</f>
        <v>411</v>
      </c>
      <c r="M215">
        <f t="shared" si="22"/>
        <v>0.73655913978494625</v>
      </c>
      <c r="N215" s="73">
        <f t="shared" si="23"/>
        <v>403.63440860215053</v>
      </c>
    </row>
    <row r="216" spans="1:14" x14ac:dyDescent="0.3">
      <c r="A216">
        <v>21842</v>
      </c>
      <c r="B216" t="str">
        <f>VLOOKUP(A216,UninsuredTable[],3,0)</f>
        <v>Worcester</v>
      </c>
      <c r="C216">
        <f>VLOOKUP(A216,UninsuredTable[],4,0)</f>
        <v>10621</v>
      </c>
      <c r="D216">
        <f>VLOOKUP(A216,UninsuredTable[],5,0)</f>
        <v>767</v>
      </c>
      <c r="E216" s="73">
        <v>767</v>
      </c>
      <c r="F216">
        <f>SUM(VLOOKUP(A216,BaseTable[[GEO.id2]:[MOE - 400% FPL and over - 65 years and over - No health insurance]],11,0),VLOOKUP(A216,BaseTable[[GEO.id2]:[MOE - 400% FPL and over - 65 years and over - No health insurance]],31,0),VLOOKUP(A216,BaseTable[[GEO.id2]:[MOE - 400% FPL and over - 65 years and over - No health insurance]],51,0))</f>
        <v>0</v>
      </c>
      <c r="G216">
        <f t="shared" si="18"/>
        <v>0</v>
      </c>
      <c r="H216" s="73">
        <f t="shared" si="19"/>
        <v>0</v>
      </c>
      <c r="I216">
        <f>SUM(VLOOKUP(A216,BaseTable[[GEO.id2]:[MOE - 400% FPL and over - 65 years and over - No health insurance]],77,0),VLOOKUP(A216,BaseTable[[GEO.id2]:[MOE - 400% FPL and over - 65 years and over - No health insurance]],71,0))</f>
        <v>202</v>
      </c>
      <c r="J216">
        <f t="shared" si="20"/>
        <v>0.26336375488917863</v>
      </c>
      <c r="K216" s="73">
        <f t="shared" si="21"/>
        <v>202</v>
      </c>
      <c r="L216">
        <f>SUM(VLOOKUP(A216,BaseTable[[GEO.id2]:[MOE - 400% FPL and over - 65 years and over - No health insurance]],17,0),VLOOKUP(A216,BaseTable[[GEO.id2]:[MOE - 400% FPL and over - 65 years and over - No health insurance]],57,0),VLOOKUP(A216,BaseTable[[GEO.id2]:[MOE - 400% FPL and over - 65 years and over - No health insurance]],37,0))</f>
        <v>565</v>
      </c>
      <c r="M216">
        <f t="shared" si="22"/>
        <v>0.73663624511082137</v>
      </c>
      <c r="N216" s="73">
        <f t="shared" si="23"/>
        <v>565</v>
      </c>
    </row>
    <row r="217" spans="1:14" x14ac:dyDescent="0.3">
      <c r="A217">
        <v>21851</v>
      </c>
      <c r="B217" t="str">
        <f>VLOOKUP(A217,UninsuredTable[],3,0)</f>
        <v>Worcester</v>
      </c>
      <c r="C217">
        <f>VLOOKUP(A217,UninsuredTable[],4,0)</f>
        <v>6970</v>
      </c>
      <c r="D217">
        <f>VLOOKUP(A217,UninsuredTable[],5,0)</f>
        <v>612</v>
      </c>
      <c r="E217" s="73">
        <v>612</v>
      </c>
      <c r="F217">
        <f>SUM(VLOOKUP(A217,BaseTable[[GEO.id2]:[MOE - 400% FPL and over - 65 years and over - No health insurance]],11,0),VLOOKUP(A217,BaseTable[[GEO.id2]:[MOE - 400% FPL and over - 65 years and over - No health insurance]],31,0),VLOOKUP(A217,BaseTable[[GEO.id2]:[MOE - 400% FPL and over - 65 years and over - No health insurance]],51,0))</f>
        <v>123</v>
      </c>
      <c r="G217">
        <f t="shared" si="18"/>
        <v>0.20098039215686275</v>
      </c>
      <c r="H217" s="73">
        <f t="shared" si="19"/>
        <v>123</v>
      </c>
      <c r="I217">
        <f>SUM(VLOOKUP(A217,BaseTable[[GEO.id2]:[MOE - 400% FPL and over - 65 years and over - No health insurance]],77,0),VLOOKUP(A217,BaseTable[[GEO.id2]:[MOE - 400% FPL and over - 65 years and over - No health insurance]],71,0))</f>
        <v>178</v>
      </c>
      <c r="J217">
        <f t="shared" si="20"/>
        <v>0.2908496732026144</v>
      </c>
      <c r="K217" s="73">
        <f t="shared" si="21"/>
        <v>178</v>
      </c>
      <c r="L217">
        <f>SUM(VLOOKUP(A217,BaseTable[[GEO.id2]:[MOE - 400% FPL and over - 65 years and over - No health insurance]],17,0),VLOOKUP(A217,BaseTable[[GEO.id2]:[MOE - 400% FPL and over - 65 years and over - No health insurance]],57,0),VLOOKUP(A217,BaseTable[[GEO.id2]:[MOE - 400% FPL and over - 65 years and over - No health insurance]],37,0))</f>
        <v>311</v>
      </c>
      <c r="M217">
        <f t="shared" si="22"/>
        <v>0.50816993464052285</v>
      </c>
      <c r="N217" s="73">
        <f t="shared" si="23"/>
        <v>311</v>
      </c>
    </row>
    <row r="218" spans="1:14" x14ac:dyDescent="0.3">
      <c r="A218">
        <v>21853</v>
      </c>
      <c r="B218" t="str">
        <f>VLOOKUP(A218,UninsuredTable[],3,0)</f>
        <v>Somerset</v>
      </c>
      <c r="C218">
        <f>VLOOKUP(A218,UninsuredTable[],4,0)</f>
        <v>8657</v>
      </c>
      <c r="D218">
        <f>VLOOKUP(A218,UninsuredTable[],5,0)</f>
        <v>674</v>
      </c>
      <c r="E218" s="73">
        <v>674</v>
      </c>
      <c r="F218">
        <f>SUM(VLOOKUP(A218,BaseTable[[GEO.id2]:[MOE - 400% FPL and over - 65 years and over - No health insurance]],11,0),VLOOKUP(A218,BaseTable[[GEO.id2]:[MOE - 400% FPL and over - 65 years and over - No health insurance]],31,0),VLOOKUP(A218,BaseTable[[GEO.id2]:[MOE - 400% FPL and over - 65 years and over - No health insurance]],51,0))</f>
        <v>43</v>
      </c>
      <c r="G218">
        <f t="shared" si="18"/>
        <v>6.3798219584569729E-2</v>
      </c>
      <c r="H218" s="73">
        <f t="shared" si="19"/>
        <v>43</v>
      </c>
      <c r="I218">
        <f>SUM(VLOOKUP(A218,BaseTable[[GEO.id2]:[MOE - 400% FPL and over - 65 years and over - No health insurance]],77,0),VLOOKUP(A218,BaseTable[[GEO.id2]:[MOE - 400% FPL and over - 65 years and over - No health insurance]],71,0))</f>
        <v>122</v>
      </c>
      <c r="J218">
        <f t="shared" si="20"/>
        <v>0.18100890207715134</v>
      </c>
      <c r="K218" s="73">
        <f t="shared" si="21"/>
        <v>122</v>
      </c>
      <c r="L218">
        <f>SUM(VLOOKUP(A218,BaseTable[[GEO.id2]:[MOE - 400% FPL and over - 65 years and over - No health insurance]],17,0),VLOOKUP(A218,BaseTable[[GEO.id2]:[MOE - 400% FPL and over - 65 years and over - No health insurance]],57,0),VLOOKUP(A218,BaseTable[[GEO.id2]:[MOE - 400% FPL and over - 65 years and over - No health insurance]],37,0))</f>
        <v>509</v>
      </c>
      <c r="M218">
        <f t="shared" si="22"/>
        <v>0.75519287833827897</v>
      </c>
      <c r="N218" s="73">
        <f t="shared" si="23"/>
        <v>509</v>
      </c>
    </row>
    <row r="219" spans="1:14" x14ac:dyDescent="0.3">
      <c r="A219">
        <v>21863</v>
      </c>
      <c r="B219" t="str">
        <f>VLOOKUP(A219,UninsuredTable[],3,0)</f>
        <v>Worcester</v>
      </c>
      <c r="C219">
        <f>VLOOKUP(A219,UninsuredTable[],4,0)</f>
        <v>4499</v>
      </c>
      <c r="D219">
        <f>VLOOKUP(A219,UninsuredTable[],5,0)</f>
        <v>299</v>
      </c>
      <c r="E219" s="73">
        <v>299</v>
      </c>
      <c r="F219">
        <f>SUM(VLOOKUP(A219,BaseTable[[GEO.id2]:[MOE - 400% FPL and over - 65 years and over - No health insurance]],11,0),VLOOKUP(A219,BaseTable[[GEO.id2]:[MOE - 400% FPL and over - 65 years and over - No health insurance]],31,0),VLOOKUP(A219,BaseTable[[GEO.id2]:[MOE - 400% FPL and over - 65 years and over - No health insurance]],51,0))</f>
        <v>65</v>
      </c>
      <c r="G219">
        <f t="shared" si="18"/>
        <v>0.21739130434782608</v>
      </c>
      <c r="H219" s="73">
        <f t="shared" si="19"/>
        <v>65</v>
      </c>
      <c r="I219">
        <f>SUM(VLOOKUP(A219,BaseTable[[GEO.id2]:[MOE - 400% FPL and over - 65 years and over - No health insurance]],77,0),VLOOKUP(A219,BaseTable[[GEO.id2]:[MOE - 400% FPL and over - 65 years and over - No health insurance]],71,0))</f>
        <v>17</v>
      </c>
      <c r="J219">
        <f t="shared" si="20"/>
        <v>5.6856187290969896E-2</v>
      </c>
      <c r="K219" s="73">
        <f t="shared" si="21"/>
        <v>17</v>
      </c>
      <c r="L219">
        <f>SUM(VLOOKUP(A219,BaseTable[[GEO.id2]:[MOE - 400% FPL and over - 65 years and over - No health insurance]],17,0),VLOOKUP(A219,BaseTable[[GEO.id2]:[MOE - 400% FPL and over - 65 years and over - No health insurance]],57,0),VLOOKUP(A219,BaseTable[[GEO.id2]:[MOE - 400% FPL and over - 65 years and over - No health insurance]],37,0))</f>
        <v>217</v>
      </c>
      <c r="M219">
        <f t="shared" si="22"/>
        <v>0.72575250836120397</v>
      </c>
      <c r="N219" s="73">
        <f t="shared" si="23"/>
        <v>217</v>
      </c>
    </row>
    <row r="220" spans="1:14" x14ac:dyDescent="0.3">
      <c r="A220">
        <v>21875</v>
      </c>
      <c r="B220" t="str">
        <f>VLOOKUP(A220,UninsuredTable[],3,0)</f>
        <v>Wicomico</v>
      </c>
      <c r="C220">
        <f>VLOOKUP(A220,UninsuredTable[],4,0)</f>
        <v>6132</v>
      </c>
      <c r="D220">
        <f>VLOOKUP(A220,UninsuredTable[],5,0)</f>
        <v>693</v>
      </c>
      <c r="E220" s="73">
        <v>693</v>
      </c>
      <c r="F220">
        <f>SUM(VLOOKUP(A220,BaseTable[[GEO.id2]:[MOE - 400% FPL and over - 65 years and over - No health insurance]],11,0),VLOOKUP(A220,BaseTable[[GEO.id2]:[MOE - 400% FPL and over - 65 years and over - No health insurance]],31,0),VLOOKUP(A220,BaseTable[[GEO.id2]:[MOE - 400% FPL and over - 65 years and over - No health insurance]],51,0))</f>
        <v>41</v>
      </c>
      <c r="G220">
        <f t="shared" si="18"/>
        <v>5.916305916305916E-2</v>
      </c>
      <c r="H220" s="73">
        <f t="shared" si="19"/>
        <v>41</v>
      </c>
      <c r="I220">
        <f>SUM(VLOOKUP(A220,BaseTable[[GEO.id2]:[MOE - 400% FPL and over - 65 years and over - No health insurance]],77,0),VLOOKUP(A220,BaseTable[[GEO.id2]:[MOE - 400% FPL and over - 65 years and over - No health insurance]],71,0))</f>
        <v>168</v>
      </c>
      <c r="J220">
        <f t="shared" si="20"/>
        <v>0.24242424242424243</v>
      </c>
      <c r="K220" s="73">
        <f t="shared" si="21"/>
        <v>168</v>
      </c>
      <c r="L220">
        <f>SUM(VLOOKUP(A220,BaseTable[[GEO.id2]:[MOE - 400% FPL and over - 65 years and over - No health insurance]],17,0),VLOOKUP(A220,BaseTable[[GEO.id2]:[MOE - 400% FPL and over - 65 years and over - No health insurance]],57,0),VLOOKUP(A220,BaseTable[[GEO.id2]:[MOE - 400% FPL and over - 65 years and over - No health insurance]],37,0))</f>
        <v>484</v>
      </c>
      <c r="M220">
        <f t="shared" si="22"/>
        <v>0.69841269841269837</v>
      </c>
      <c r="N220" s="73">
        <f t="shared" si="23"/>
        <v>484</v>
      </c>
    </row>
    <row r="221" spans="1:14" x14ac:dyDescent="0.3">
      <c r="A221">
        <v>21901</v>
      </c>
      <c r="B221" t="str">
        <f>VLOOKUP(A221,UninsuredTable[],3,0)</f>
        <v>Cecil</v>
      </c>
      <c r="C221">
        <f>VLOOKUP(A221,UninsuredTable[],4,0)</f>
        <v>17441</v>
      </c>
      <c r="D221">
        <f>VLOOKUP(A221,UninsuredTable[],5,0)</f>
        <v>831</v>
      </c>
      <c r="E221" s="73">
        <v>831</v>
      </c>
      <c r="F221">
        <f>SUM(VLOOKUP(A221,BaseTable[[GEO.id2]:[MOE - 400% FPL and over - 65 years and over - No health insurance]],11,0),VLOOKUP(A221,BaseTable[[GEO.id2]:[MOE - 400% FPL and over - 65 years and over - No health insurance]],31,0),VLOOKUP(A221,BaseTable[[GEO.id2]:[MOE - 400% FPL and over - 65 years and over - No health insurance]],51,0))</f>
        <v>100</v>
      </c>
      <c r="G221">
        <f t="shared" si="18"/>
        <v>0.12033694344163658</v>
      </c>
      <c r="H221" s="73">
        <f t="shared" si="19"/>
        <v>100</v>
      </c>
      <c r="I221">
        <f>SUM(VLOOKUP(A221,BaseTable[[GEO.id2]:[MOE - 400% FPL and over - 65 years and over - No health insurance]],77,0),VLOOKUP(A221,BaseTable[[GEO.id2]:[MOE - 400% FPL and over - 65 years and over - No health insurance]],71,0))</f>
        <v>152</v>
      </c>
      <c r="J221">
        <f t="shared" si="20"/>
        <v>0.1829121540312876</v>
      </c>
      <c r="K221" s="73">
        <f t="shared" si="21"/>
        <v>152</v>
      </c>
      <c r="L221">
        <f>SUM(VLOOKUP(A221,BaseTable[[GEO.id2]:[MOE - 400% FPL and over - 65 years and over - No health insurance]],17,0),VLOOKUP(A221,BaseTable[[GEO.id2]:[MOE - 400% FPL and over - 65 years and over - No health insurance]],57,0),VLOOKUP(A221,BaseTable[[GEO.id2]:[MOE - 400% FPL and over - 65 years and over - No health insurance]],37,0))</f>
        <v>579</v>
      </c>
      <c r="M221">
        <f t="shared" si="22"/>
        <v>0.69675090252707583</v>
      </c>
      <c r="N221" s="73">
        <f t="shared" si="23"/>
        <v>579</v>
      </c>
    </row>
    <row r="222" spans="1:14" x14ac:dyDescent="0.3">
      <c r="A222">
        <v>21904</v>
      </c>
      <c r="B222" t="str">
        <f>VLOOKUP(A222,UninsuredTable[],3,0)</f>
        <v>Cecil</v>
      </c>
      <c r="C222">
        <f>VLOOKUP(A222,UninsuredTable[],4,0)</f>
        <v>7197</v>
      </c>
      <c r="D222">
        <f>VLOOKUP(A222,UninsuredTable[],5,0)</f>
        <v>277</v>
      </c>
      <c r="E222" s="73">
        <v>274</v>
      </c>
      <c r="F222">
        <f>SUM(VLOOKUP(A222,BaseTable[[GEO.id2]:[MOE - 400% FPL and over - 65 years and over - No health insurance]],11,0),VLOOKUP(A222,BaseTable[[GEO.id2]:[MOE - 400% FPL and over - 65 years and over - No health insurance]],31,0),VLOOKUP(A222,BaseTable[[GEO.id2]:[MOE - 400% FPL and over - 65 years and over - No health insurance]],51,0))</f>
        <v>34</v>
      </c>
      <c r="G222">
        <f t="shared" si="18"/>
        <v>0.12274368231046931</v>
      </c>
      <c r="H222" s="73">
        <f t="shared" si="19"/>
        <v>33.631768953068594</v>
      </c>
      <c r="I222">
        <f>SUM(VLOOKUP(A222,BaseTable[[GEO.id2]:[MOE - 400% FPL and over - 65 years and over - No health insurance]],77,0),VLOOKUP(A222,BaseTable[[GEO.id2]:[MOE - 400% FPL and over - 65 years and over - No health insurance]],71,0))</f>
        <v>149</v>
      </c>
      <c r="J222">
        <f t="shared" si="20"/>
        <v>0.53790613718411551</v>
      </c>
      <c r="K222" s="73">
        <f t="shared" si="21"/>
        <v>147.38628158844764</v>
      </c>
      <c r="L222">
        <f>SUM(VLOOKUP(A222,BaseTable[[GEO.id2]:[MOE - 400% FPL and over - 65 years and over - No health insurance]],17,0),VLOOKUP(A222,BaseTable[[GEO.id2]:[MOE - 400% FPL and over - 65 years and over - No health insurance]],57,0),VLOOKUP(A222,BaseTable[[GEO.id2]:[MOE - 400% FPL and over - 65 years and over - No health insurance]],37,0))</f>
        <v>91</v>
      </c>
      <c r="M222">
        <f t="shared" si="22"/>
        <v>0.32851985559566788</v>
      </c>
      <c r="N222" s="73">
        <f t="shared" si="23"/>
        <v>90.014440433212997</v>
      </c>
    </row>
    <row r="223" spans="1:14" x14ac:dyDescent="0.3">
      <c r="A223">
        <v>21911</v>
      </c>
      <c r="B223" t="str">
        <f>VLOOKUP(A223,UninsuredTable[],3,0)</f>
        <v>Cecil</v>
      </c>
      <c r="C223">
        <f>VLOOKUP(A223,UninsuredTable[],4,0)</f>
        <v>11213</v>
      </c>
      <c r="D223">
        <f>VLOOKUP(A223,UninsuredTable[],5,0)</f>
        <v>556</v>
      </c>
      <c r="E223" s="73">
        <v>556</v>
      </c>
      <c r="F223">
        <f>SUM(VLOOKUP(A223,BaseTable[[GEO.id2]:[MOE - 400% FPL and over - 65 years and over - No health insurance]],11,0),VLOOKUP(A223,BaseTable[[GEO.id2]:[MOE - 400% FPL and over - 65 years and over - No health insurance]],31,0),VLOOKUP(A223,BaseTable[[GEO.id2]:[MOE - 400% FPL and over - 65 years and over - No health insurance]],51,0))</f>
        <v>16</v>
      </c>
      <c r="G223">
        <f t="shared" si="18"/>
        <v>2.8776978417266189E-2</v>
      </c>
      <c r="H223" s="73">
        <f t="shared" si="19"/>
        <v>16</v>
      </c>
      <c r="I223">
        <f>SUM(VLOOKUP(A223,BaseTable[[GEO.id2]:[MOE - 400% FPL and over - 65 years and over - No health insurance]],77,0),VLOOKUP(A223,BaseTable[[GEO.id2]:[MOE - 400% FPL and over - 65 years and over - No health insurance]],71,0))</f>
        <v>65</v>
      </c>
      <c r="J223">
        <f t="shared" si="20"/>
        <v>0.11690647482014388</v>
      </c>
      <c r="K223" s="73">
        <f t="shared" si="21"/>
        <v>65</v>
      </c>
      <c r="L223">
        <f>SUM(VLOOKUP(A223,BaseTable[[GEO.id2]:[MOE - 400% FPL and over - 65 years and over - No health insurance]],17,0),VLOOKUP(A223,BaseTable[[GEO.id2]:[MOE - 400% FPL and over - 65 years and over - No health insurance]],57,0),VLOOKUP(A223,BaseTable[[GEO.id2]:[MOE - 400% FPL and over - 65 years and over - No health insurance]],37,0))</f>
        <v>475</v>
      </c>
      <c r="M223">
        <f t="shared" si="22"/>
        <v>0.85431654676258995</v>
      </c>
      <c r="N223" s="73">
        <f t="shared" si="23"/>
        <v>475</v>
      </c>
    </row>
    <row r="224" spans="1:14" x14ac:dyDescent="0.3">
      <c r="A224">
        <v>21921</v>
      </c>
      <c r="B224" t="str">
        <f>VLOOKUP(A224,UninsuredTable[],3,0)</f>
        <v>Cecil</v>
      </c>
      <c r="C224">
        <f>VLOOKUP(A224,UninsuredTable[],4,0)</f>
        <v>43608</v>
      </c>
      <c r="D224">
        <f>VLOOKUP(A224,UninsuredTable[],5,0)</f>
        <v>2659</v>
      </c>
      <c r="E224" s="73">
        <v>1934.3164985402066</v>
      </c>
      <c r="F224">
        <f>SUM(VLOOKUP(A224,BaseTable[[GEO.id2]:[MOE - 400% FPL and over - 65 years and over - No health insurance]],11,0),VLOOKUP(A224,BaseTable[[GEO.id2]:[MOE - 400% FPL and over - 65 years and over - No health insurance]],31,0),VLOOKUP(A224,BaseTable[[GEO.id2]:[MOE - 400% FPL and over - 65 years and over - No health insurance]],51,0))</f>
        <v>280</v>
      </c>
      <c r="G224">
        <f t="shared" si="18"/>
        <v>0.1053027453930049</v>
      </c>
      <c r="H224" s="73">
        <f t="shared" si="19"/>
        <v>203.68883775526811</v>
      </c>
      <c r="I224">
        <f>SUM(VLOOKUP(A224,BaseTable[[GEO.id2]:[MOE - 400% FPL and over - 65 years and over - No health insurance]],77,0),VLOOKUP(A224,BaseTable[[GEO.id2]:[MOE - 400% FPL and over - 65 years and over - No health insurance]],71,0))</f>
        <v>432</v>
      </c>
      <c r="J224">
        <f t="shared" si="20"/>
        <v>0.16246709289206468</v>
      </c>
      <c r="K224" s="73">
        <f t="shared" si="21"/>
        <v>314.26277825098504</v>
      </c>
      <c r="L224">
        <f>SUM(VLOOKUP(A224,BaseTable[[GEO.id2]:[MOE - 400% FPL and over - 65 years and over - No health insurance]],17,0),VLOOKUP(A224,BaseTable[[GEO.id2]:[MOE - 400% FPL and over - 65 years and over - No health insurance]],57,0),VLOOKUP(A224,BaseTable[[GEO.id2]:[MOE - 400% FPL and over - 65 years and over - No health insurance]],37,0))</f>
        <v>1936</v>
      </c>
      <c r="M224">
        <f t="shared" si="22"/>
        <v>0.72809326814591957</v>
      </c>
      <c r="N224" s="73">
        <f t="shared" si="23"/>
        <v>1408.3628210507109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55"/>
  <sheetViews>
    <sheetView workbookViewId="0">
      <selection activeCell="F52" sqref="F52"/>
    </sheetView>
  </sheetViews>
  <sheetFormatPr defaultRowHeight="14.4" x14ac:dyDescent="0.3"/>
  <cols>
    <col min="1" max="1" width="42" style="31" bestFit="1" customWidth="1"/>
    <col min="2" max="2" width="11.21875" customWidth="1"/>
  </cols>
  <sheetData>
    <row r="1" spans="1:2" x14ac:dyDescent="0.3">
      <c r="A1" s="32" t="s">
        <v>1463</v>
      </c>
      <c r="B1" t="s">
        <v>1462</v>
      </c>
    </row>
    <row r="2" spans="1:2" x14ac:dyDescent="0.3">
      <c r="A2" s="33" t="s">
        <v>1464</v>
      </c>
      <c r="B2" s="34">
        <f>UninsuredTable[[#Totals],[Below 138% of FPL]]</f>
        <v>787918</v>
      </c>
    </row>
    <row r="3" spans="1:2" x14ac:dyDescent="0.3">
      <c r="A3" s="35" t="s">
        <v>1474</v>
      </c>
      <c r="B3" s="36">
        <f>BaseTable[[#Totals],[Below 138% of FPL - Under 19 years]]</f>
        <v>267669</v>
      </c>
    </row>
    <row r="4" spans="1:2" x14ac:dyDescent="0.3">
      <c r="A4" s="35" t="s">
        <v>1475</v>
      </c>
      <c r="B4" s="36">
        <f>BaseTable[[#Totals],[Below 138% of FPL - Under 19 years - No Health Insurance]]</f>
        <v>16110</v>
      </c>
    </row>
    <row r="5" spans="1:2" x14ac:dyDescent="0.3">
      <c r="A5" s="37" t="s">
        <v>1476</v>
      </c>
      <c r="B5" s="38">
        <f>B4/B3</f>
        <v>6.0186274839447225E-2</v>
      </c>
    </row>
    <row r="6" spans="1:2" x14ac:dyDescent="0.3">
      <c r="A6" s="37" t="s">
        <v>1465</v>
      </c>
      <c r="B6" s="38">
        <f>B4/B2</f>
        <v>2.044629009617752E-2</v>
      </c>
    </row>
    <row r="7" spans="1:2" x14ac:dyDescent="0.3">
      <c r="A7" s="35" t="s">
        <v>1477</v>
      </c>
      <c r="B7" s="36">
        <f>BaseTable[[#Totals],[Below 138% of FPL - 19 to 64 years]]</f>
        <v>459847</v>
      </c>
    </row>
    <row r="8" spans="1:2" x14ac:dyDescent="0.3">
      <c r="A8" s="35" t="s">
        <v>1478</v>
      </c>
      <c r="B8" s="36">
        <f>BaseTable[[#Totals],[Below 138% of FPL - 19 to 64 years - No Health Insurance]]</f>
        <v>98690</v>
      </c>
    </row>
    <row r="9" spans="1:2" x14ac:dyDescent="0.3">
      <c r="A9" s="37" t="s">
        <v>1479</v>
      </c>
      <c r="B9" s="38">
        <f>B8/B7</f>
        <v>0.21461486102986427</v>
      </c>
    </row>
    <row r="10" spans="1:2" x14ac:dyDescent="0.3">
      <c r="A10" s="37" t="s">
        <v>1466</v>
      </c>
      <c r="B10" s="38">
        <f>B8/B2</f>
        <v>0.12525415081264801</v>
      </c>
    </row>
    <row r="11" spans="1:2" x14ac:dyDescent="0.3">
      <c r="A11" s="35" t="s">
        <v>1467</v>
      </c>
      <c r="B11" s="36">
        <f>BaseTable[[#Totals],[Below 138% of FPL - 65 years and over]]</f>
        <v>106172</v>
      </c>
    </row>
    <row r="12" spans="1:2" x14ac:dyDescent="0.3">
      <c r="A12" s="35" t="s">
        <v>1468</v>
      </c>
      <c r="B12" s="36">
        <f>BaseTable[[#Totals],[Below 138% of FPL - 65 years and over - No Health Insurance]]</f>
        <v>2277</v>
      </c>
    </row>
    <row r="13" spans="1:2" x14ac:dyDescent="0.3">
      <c r="A13" s="37" t="s">
        <v>1469</v>
      </c>
      <c r="B13" s="38">
        <f>B12/B11</f>
        <v>2.1446332366348943E-2</v>
      </c>
    </row>
    <row r="14" spans="1:2" x14ac:dyDescent="0.3">
      <c r="A14" s="39" t="s">
        <v>1466</v>
      </c>
      <c r="B14" s="40">
        <f>B12/B2</f>
        <v>2.8898946337055378E-3</v>
      </c>
    </row>
    <row r="15" spans="1:2" x14ac:dyDescent="0.3">
      <c r="A15" s="33" t="s">
        <v>1470</v>
      </c>
      <c r="B15" s="34">
        <f>UninsuredTable[[#Totals],[138 to 199% of FPL]]</f>
        <v>461398</v>
      </c>
    </row>
    <row r="16" spans="1:2" x14ac:dyDescent="0.3">
      <c r="A16" s="35" t="s">
        <v>1474</v>
      </c>
      <c r="B16" s="36">
        <f>BaseTable[[#Totals],[138 to 199% of FPL - Under 19 years:]]</f>
        <v>152132</v>
      </c>
    </row>
    <row r="17" spans="1:2" x14ac:dyDescent="0.3">
      <c r="A17" s="35" t="s">
        <v>1475</v>
      </c>
      <c r="B17" s="36">
        <f>BaseTable[[#Totals],[138 to 199% of FPL - Under 19 years - No health insurance coverage]]</f>
        <v>8641</v>
      </c>
    </row>
    <row r="18" spans="1:2" x14ac:dyDescent="0.3">
      <c r="A18" s="37" t="s">
        <v>1476</v>
      </c>
      <c r="B18" s="38">
        <f>B17/B16</f>
        <v>5.6799358451870743E-2</v>
      </c>
    </row>
    <row r="19" spans="1:2" x14ac:dyDescent="0.3">
      <c r="A19" s="37" t="s">
        <v>1465</v>
      </c>
      <c r="B19" s="38">
        <f>B17/B15</f>
        <v>1.8727866180607632E-2</v>
      </c>
    </row>
    <row r="20" spans="1:2" x14ac:dyDescent="0.3">
      <c r="A20" s="35" t="s">
        <v>1477</v>
      </c>
      <c r="B20" s="36">
        <f>BaseTable[[#Totals],[138 to 199% of FPL- 19 to 64 years]]</f>
        <v>264410</v>
      </c>
    </row>
    <row r="21" spans="1:2" x14ac:dyDescent="0.3">
      <c r="A21" s="35" t="s">
        <v>1478</v>
      </c>
      <c r="B21" s="36">
        <f>BaseTable[[#Totals],[138 to 199% of FPL - 19 to 64 years - No health insurance]]</f>
        <v>60770</v>
      </c>
    </row>
    <row r="22" spans="1:2" x14ac:dyDescent="0.3">
      <c r="A22" s="37" t="s">
        <v>1479</v>
      </c>
      <c r="B22" s="38">
        <f>B21/B20</f>
        <v>0.22983245716879089</v>
      </c>
    </row>
    <row r="23" spans="1:2" x14ac:dyDescent="0.3">
      <c r="A23" s="37" t="s">
        <v>1466</v>
      </c>
      <c r="B23" s="38">
        <f>B21/B15</f>
        <v>0.13170841659478369</v>
      </c>
    </row>
    <row r="24" spans="1:2" x14ac:dyDescent="0.3">
      <c r="A24" s="35" t="s">
        <v>1467</v>
      </c>
      <c r="B24" s="36">
        <f>BaseTable[[#Totals],[138 to 199% of FPL - 65 years and over]]</f>
        <v>73603</v>
      </c>
    </row>
    <row r="25" spans="1:2" x14ac:dyDescent="0.3">
      <c r="A25" s="35" t="s">
        <v>1468</v>
      </c>
      <c r="B25" s="36">
        <f>BaseTable[[#Totals],[138 to 199% of FPL - 65 years and over - No health insurance]]</f>
        <v>825</v>
      </c>
    </row>
    <row r="26" spans="1:2" x14ac:dyDescent="0.3">
      <c r="A26" s="37" t="s">
        <v>1469</v>
      </c>
      <c r="B26" s="38">
        <f>B25/B24</f>
        <v>1.1208782250723475E-2</v>
      </c>
    </row>
    <row r="27" spans="1:2" x14ac:dyDescent="0.3">
      <c r="A27" s="39" t="s">
        <v>1466</v>
      </c>
      <c r="B27" s="40">
        <f>B25/B15</f>
        <v>1.7880441614397981E-3</v>
      </c>
    </row>
    <row r="28" spans="1:2" x14ac:dyDescent="0.3">
      <c r="A28" s="33" t="s">
        <v>1471</v>
      </c>
      <c r="B28" s="34">
        <f>UninsuredTable[[#Totals],[200 to 399% of FPL]]</f>
        <v>1409490</v>
      </c>
    </row>
    <row r="29" spans="1:2" x14ac:dyDescent="0.3">
      <c r="A29" s="41" t="s">
        <v>1474</v>
      </c>
      <c r="B29" s="36">
        <f>BaseTable[[#Totals],[200 to 399% of FPL - Under 19 years]]</f>
        <v>385051</v>
      </c>
    </row>
    <row r="30" spans="1:2" x14ac:dyDescent="0.3">
      <c r="A30" s="41" t="s">
        <v>1475</v>
      </c>
      <c r="B30" s="36">
        <f>BaseTable[[#Totals],[200 to 399% of FPL - Under 19 years - No health insurance]]</f>
        <v>17409</v>
      </c>
    </row>
    <row r="31" spans="1:2" x14ac:dyDescent="0.3">
      <c r="A31" s="42" t="s">
        <v>1476</v>
      </c>
      <c r="B31" s="38">
        <f>B30/B29</f>
        <v>4.5212192670581297E-2</v>
      </c>
    </row>
    <row r="32" spans="1:2" x14ac:dyDescent="0.3">
      <c r="A32" s="42" t="s">
        <v>1465</v>
      </c>
      <c r="B32" s="38">
        <f>B30/B28</f>
        <v>1.2351275993444438E-2</v>
      </c>
    </row>
    <row r="33" spans="1:2" x14ac:dyDescent="0.3">
      <c r="A33" s="41" t="s">
        <v>1477</v>
      </c>
      <c r="B33" s="36">
        <f>BaseTable[[#Totals],[200 to 399% of FPL - 19 to 64 years]]</f>
        <v>906887</v>
      </c>
    </row>
    <row r="34" spans="1:2" x14ac:dyDescent="0.3">
      <c r="A34" s="41" t="s">
        <v>1478</v>
      </c>
      <c r="B34" s="36">
        <f>BaseTable[[#Totals],[200 to 399% of FPL - 19 to 64 years - No health insurance]]</f>
        <v>128221</v>
      </c>
    </row>
    <row r="35" spans="1:2" x14ac:dyDescent="0.3">
      <c r="A35" s="42" t="s">
        <v>1479</v>
      </c>
      <c r="B35" s="38">
        <f>B34/B33</f>
        <v>0.1413858617446275</v>
      </c>
    </row>
    <row r="36" spans="1:2" x14ac:dyDescent="0.3">
      <c r="A36" s="42" t="s">
        <v>1466</v>
      </c>
      <c r="B36" s="38">
        <f>B34/B28</f>
        <v>9.0969783396831483E-2</v>
      </c>
    </row>
    <row r="37" spans="1:2" x14ac:dyDescent="0.3">
      <c r="A37" s="41" t="s">
        <v>1467</v>
      </c>
      <c r="B37" s="36">
        <f>BaseTable[[#Totals],[200 to 399% of FPL - 65 years and over]]</f>
        <v>224878</v>
      </c>
    </row>
    <row r="38" spans="1:2" x14ac:dyDescent="0.3">
      <c r="A38" s="41" t="s">
        <v>1468</v>
      </c>
      <c r="B38" s="36">
        <f>BaseTable[[#Totals],[200 to 399% of FPL - 65 years and over - No health insurance]]</f>
        <v>3071</v>
      </c>
    </row>
    <row r="39" spans="1:2" x14ac:dyDescent="0.3">
      <c r="A39" s="42" t="s">
        <v>1469</v>
      </c>
      <c r="B39" s="38">
        <f>B38/B37</f>
        <v>1.3656293634770854E-2</v>
      </c>
    </row>
    <row r="40" spans="1:2" x14ac:dyDescent="0.3">
      <c r="A40" s="43" t="s">
        <v>1466</v>
      </c>
      <c r="B40" s="40">
        <f>B38/B28</f>
        <v>2.1788022618110096E-3</v>
      </c>
    </row>
    <row r="41" spans="1:2" x14ac:dyDescent="0.3">
      <c r="A41" s="33" t="s">
        <v>1472</v>
      </c>
      <c r="B41" s="34">
        <f>UninsuredTable[[#Totals],[400% FPL and over]]</f>
        <v>2745769</v>
      </c>
    </row>
    <row r="42" spans="1:2" x14ac:dyDescent="0.3">
      <c r="A42" s="41" t="s">
        <v>1474</v>
      </c>
      <c r="B42" s="36">
        <f>BaseTable[[#Totals],[400% FPL and over - Under 19 years]]</f>
        <v>590090</v>
      </c>
    </row>
    <row r="43" spans="1:2" x14ac:dyDescent="0.3">
      <c r="A43" s="41" t="s">
        <v>1475</v>
      </c>
      <c r="B43" s="36">
        <f>BaseTable[[#Totals],[400% FPL and over - Under 19 years - No health insurance]]</f>
        <v>10866</v>
      </c>
    </row>
    <row r="44" spans="1:2" x14ac:dyDescent="0.3">
      <c r="A44" s="42" t="s">
        <v>1476</v>
      </c>
      <c r="B44" s="38">
        <f>B43/B42</f>
        <v>1.841414021589927E-2</v>
      </c>
    </row>
    <row r="45" spans="1:2" x14ac:dyDescent="0.3">
      <c r="A45" s="42" t="s">
        <v>1465</v>
      </c>
      <c r="B45" s="38">
        <f>B43/B41</f>
        <v>3.9573613075244134E-3</v>
      </c>
    </row>
    <row r="46" spans="1:2" x14ac:dyDescent="0.3">
      <c r="A46" s="41" t="s">
        <v>1477</v>
      </c>
      <c r="B46" s="36">
        <f>BaseTable[[#Totals],[400% FPL and over - 19 to 64 years]]</f>
        <v>1984861</v>
      </c>
    </row>
    <row r="47" spans="1:2" x14ac:dyDescent="0.3">
      <c r="A47" s="41" t="s">
        <v>1478</v>
      </c>
      <c r="B47" s="36">
        <f>BaseTable[[#Totals],[400% FPL and over - 19 to 64 years - No health insurance]]</f>
        <v>80078</v>
      </c>
    </row>
    <row r="48" spans="1:2" x14ac:dyDescent="0.3">
      <c r="A48" s="42" t="s">
        <v>1479</v>
      </c>
      <c r="B48" s="38">
        <f>B47/B46</f>
        <v>4.0344386836156286E-2</v>
      </c>
    </row>
    <row r="49" spans="1:2" x14ac:dyDescent="0.3">
      <c r="A49" s="42" t="s">
        <v>1466</v>
      </c>
      <c r="B49" s="38">
        <f>B47/B41</f>
        <v>2.916414308705503E-2</v>
      </c>
    </row>
    <row r="50" spans="1:2" x14ac:dyDescent="0.3">
      <c r="A50" s="41" t="s">
        <v>1467</v>
      </c>
      <c r="B50" s="36">
        <f>BaseTable[[#Totals],[400% FPL and over - 65 years and over]]</f>
        <v>420509</v>
      </c>
    </row>
    <row r="51" spans="1:2" x14ac:dyDescent="0.3">
      <c r="A51" s="41" t="s">
        <v>1468</v>
      </c>
      <c r="B51" s="36">
        <f>BaseTable[[#Totals],[400% FPL and over - 65 years and over - No health insurance]]</f>
        <v>3007</v>
      </c>
    </row>
    <row r="52" spans="1:2" x14ac:dyDescent="0.3">
      <c r="A52" s="42" t="s">
        <v>1469</v>
      </c>
      <c r="B52" s="38">
        <f>B51/B50</f>
        <v>7.1508576510847565E-3</v>
      </c>
    </row>
    <row r="53" spans="1:2" ht="15" thickBot="1" x14ac:dyDescent="0.35">
      <c r="A53" s="99" t="s">
        <v>1466</v>
      </c>
      <c r="B53" s="38">
        <f>B51/B41</f>
        <v>1.0951394673040593E-3</v>
      </c>
    </row>
    <row r="54" spans="1:2" x14ac:dyDescent="0.3">
      <c r="A54" s="100" t="s">
        <v>1473</v>
      </c>
      <c r="B54" s="101">
        <f>UninsuredTable[[#Totals],[Total Uninsured Population]]</f>
        <v>410966</v>
      </c>
    </row>
    <row r="55" spans="1:2" ht="15" thickBot="1" x14ac:dyDescent="0.35">
      <c r="A55" s="102" t="s">
        <v>1545</v>
      </c>
      <c r="B55" s="103">
        <f>UninsuredTable[[#Totals],[Alternate Adj Total Uninsured]]</f>
        <v>258081.72926933673</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S230"/>
  <sheetViews>
    <sheetView workbookViewId="0">
      <pane xSplit="3" ySplit="2" topLeftCell="D3" activePane="bottomRight" state="frozen"/>
      <selection pane="topRight" activeCell="D1" sqref="D1"/>
      <selection pane="bottomLeft" activeCell="A2" sqref="A2"/>
      <selection pane="bottomRight" activeCell="G3" sqref="G3"/>
    </sheetView>
  </sheetViews>
  <sheetFormatPr defaultRowHeight="14.4" x14ac:dyDescent="0.3"/>
  <cols>
    <col min="1" max="1" width="12.6640625" bestFit="1" customWidth="1"/>
    <col min="2" max="2" width="22" bestFit="1" customWidth="1"/>
    <col min="3" max="3" width="15.44140625" bestFit="1" customWidth="1"/>
    <col min="4" max="4" width="19.44140625" hidden="1" customWidth="1"/>
    <col min="5" max="5" width="18.88671875" bestFit="1" customWidth="1"/>
    <col min="6" max="6" width="21.33203125" customWidth="1"/>
    <col min="7" max="7" width="21.109375" style="89" bestFit="1" customWidth="1"/>
    <col min="8" max="8" width="22.6640625" bestFit="1" customWidth="1"/>
    <col min="9" max="9" width="21.6640625" customWidth="1"/>
    <col min="10" max="10" width="21.6640625" style="73" customWidth="1"/>
    <col min="11" max="12" width="21.6640625" customWidth="1"/>
    <col min="13" max="13" width="21.6640625" style="73" customWidth="1"/>
    <col min="14" max="14" width="21.6640625" customWidth="1"/>
    <col min="15" max="15" width="19.21875" bestFit="1" customWidth="1"/>
    <col min="16" max="16" width="21.6640625" style="73" customWidth="1"/>
    <col min="17" max="17" width="13.21875" bestFit="1" customWidth="1"/>
    <col min="18" max="18" width="19.21875" bestFit="1" customWidth="1"/>
    <col min="19" max="19" width="21.6640625" style="73" customWidth="1"/>
  </cols>
  <sheetData>
    <row r="1" spans="1:19" ht="72" customHeight="1" x14ac:dyDescent="0.3">
      <c r="A1" s="125" t="s">
        <v>1504</v>
      </c>
      <c r="B1" s="125"/>
      <c r="C1" s="125"/>
      <c r="D1" s="126" t="s">
        <v>1520</v>
      </c>
      <c r="E1" s="126"/>
      <c r="F1" s="126"/>
      <c r="G1" s="126"/>
      <c r="H1" s="126"/>
      <c r="I1" s="126"/>
      <c r="J1" s="90"/>
      <c r="K1" s="87"/>
    </row>
    <row r="2" spans="1:19" s="15" customFormat="1" ht="43.8" customHeight="1" x14ac:dyDescent="0.3">
      <c r="A2" s="14" t="s">
        <v>978</v>
      </c>
      <c r="B2" s="15" t="s">
        <v>986</v>
      </c>
      <c r="C2" s="15" t="s">
        <v>987</v>
      </c>
      <c r="D2" s="15" t="s">
        <v>939</v>
      </c>
      <c r="E2" s="15" t="s">
        <v>984</v>
      </c>
      <c r="F2" s="15" t="s">
        <v>1405</v>
      </c>
      <c r="G2" s="88" t="s">
        <v>1419</v>
      </c>
      <c r="H2" s="27" t="s">
        <v>940</v>
      </c>
      <c r="I2" s="15" t="s">
        <v>979</v>
      </c>
      <c r="J2" s="91" t="s">
        <v>1533</v>
      </c>
      <c r="K2" s="15" t="s">
        <v>949</v>
      </c>
      <c r="L2" s="15" t="s">
        <v>981</v>
      </c>
      <c r="M2" s="91" t="s">
        <v>1534</v>
      </c>
      <c r="N2" s="15" t="s">
        <v>958</v>
      </c>
      <c r="O2" s="15" t="s">
        <v>982</v>
      </c>
      <c r="P2" s="91" t="s">
        <v>1535</v>
      </c>
      <c r="Q2" s="15" t="s">
        <v>968</v>
      </c>
      <c r="R2" s="15" t="s">
        <v>983</v>
      </c>
      <c r="S2" s="91" t="s">
        <v>1536</v>
      </c>
    </row>
    <row r="3" spans="1:19" x14ac:dyDescent="0.3">
      <c r="A3">
        <v>20601</v>
      </c>
      <c r="B3" t="s">
        <v>1069</v>
      </c>
      <c r="C3" t="s">
        <v>1070</v>
      </c>
      <c r="D3">
        <v>25665</v>
      </c>
      <c r="E3">
        <f t="shared" ref="E3:E66" si="0">I3+L3+O3+R3</f>
        <v>1191</v>
      </c>
      <c r="F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688</v>
      </c>
      <c r="G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767.0328079780744</v>
      </c>
      <c r="H3" s="28">
        <v>2032</v>
      </c>
      <c r="I3">
        <f>SUM(VLOOKUP(UninsuredTable[[#This Row],[ZIP code]],ModifiedBaseTable!B:R,11,0),VLOOKUP(UninsuredTable[[#This Row],[ZIP code]],ModifiedBaseTable!B:R,17,0))</f>
        <v>300</v>
      </c>
      <c r="J3" s="73">
        <f>UninsuredTable[[#This Row],[Alternate Adj Total Uninsured]]*(UninsuredTable[[#This Row],[Below 138% of FPL - No Health Insurance]]/UninsuredTable[[#This Row],[Total Uninsured Population]])</f>
        <v>193.207256417651</v>
      </c>
      <c r="K3">
        <v>1578</v>
      </c>
      <c r="L3">
        <v>54</v>
      </c>
      <c r="M3" s="73">
        <f>UninsuredTable[[#This Row],[Alternate Adj Total Uninsured]]*(UninsuredTable[[#This Row],[138% to 199% - No Health Insurance]]/UninsuredTable[[#This Row],[Total Uninsured Population]])</f>
        <v>34.777306155177172</v>
      </c>
      <c r="N3">
        <v>6589</v>
      </c>
      <c r="O3">
        <v>352</v>
      </c>
      <c r="P3" s="73">
        <f>UninsuredTable[[#This Row],[Alternate Adj Total Uninsured]]*(UninsuredTable[[#This Row],[200 to 399% of FPL - No Health Insurance]]/UninsuredTable[[#This Row],[Total Uninsured Population]])</f>
        <v>226.6965141967105</v>
      </c>
      <c r="Q3">
        <v>15466</v>
      </c>
      <c r="R3">
        <v>485</v>
      </c>
      <c r="S3" s="73">
        <f>UninsuredTable[[#This Row],[Alternate Adj Total Uninsured]]*(UninsuredTable[[#This Row],[400% FPL and over - No Health Insurance]]/UninsuredTable[[#This Row],[Total Uninsured Population]])</f>
        <v>312.35173120853574</v>
      </c>
    </row>
    <row r="4" spans="1:19" x14ac:dyDescent="0.3">
      <c r="A4">
        <v>20646</v>
      </c>
      <c r="B4" t="s">
        <v>1106</v>
      </c>
      <c r="C4" t="s">
        <v>1070</v>
      </c>
      <c r="D4">
        <v>19226</v>
      </c>
      <c r="E4">
        <f t="shared" si="0"/>
        <v>835</v>
      </c>
      <c r="F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835</v>
      </c>
      <c r="G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835</v>
      </c>
      <c r="H4" s="28">
        <v>1519</v>
      </c>
      <c r="I4">
        <f>SUM(VLOOKUP(UninsuredTable[[#This Row],[ZIP code]],ModifiedBaseTable!B:R,11,0),VLOOKUP(UninsuredTable[[#This Row],[ZIP code]],ModifiedBaseTable!B:R,17,0))</f>
        <v>79</v>
      </c>
      <c r="J4" s="73">
        <f>UninsuredTable[[#This Row],[Alternate Adj Total Uninsured]]*(UninsuredTable[[#This Row],[Below 138% of FPL - No Health Insurance]]/UninsuredTable[[#This Row],[Total Uninsured Population]])</f>
        <v>79</v>
      </c>
      <c r="K4">
        <v>1682</v>
      </c>
      <c r="L4">
        <v>202</v>
      </c>
      <c r="M4" s="73">
        <f>UninsuredTable[[#This Row],[Alternate Adj Total Uninsured]]*(UninsuredTable[[#This Row],[138% to 199% - No Health Insurance]]/UninsuredTable[[#This Row],[Total Uninsured Population]])</f>
        <v>202</v>
      </c>
      <c r="N4">
        <v>3979</v>
      </c>
      <c r="O4">
        <v>263</v>
      </c>
      <c r="P4" s="73">
        <f>UninsuredTable[[#This Row],[Alternate Adj Total Uninsured]]*(UninsuredTable[[#This Row],[200 to 399% of FPL - No Health Insurance]]/UninsuredTable[[#This Row],[Total Uninsured Population]])</f>
        <v>263</v>
      </c>
      <c r="Q4">
        <v>12046</v>
      </c>
      <c r="R4">
        <v>291</v>
      </c>
      <c r="S4" s="73">
        <f>UninsuredTable[[#This Row],[Alternate Adj Total Uninsured]]*(UninsuredTable[[#This Row],[400% FPL and over - No Health Insurance]]/UninsuredTable[[#This Row],[Total Uninsured Population]])</f>
        <v>291</v>
      </c>
    </row>
    <row r="5" spans="1:19" x14ac:dyDescent="0.3">
      <c r="A5">
        <v>20603</v>
      </c>
      <c r="B5" t="s">
        <v>1069</v>
      </c>
      <c r="C5" t="s">
        <v>1070</v>
      </c>
      <c r="D5">
        <v>30263</v>
      </c>
      <c r="E5">
        <f t="shared" si="0"/>
        <v>1103</v>
      </c>
      <c r="F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692.80000000000007</v>
      </c>
      <c r="G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749.38844559155177</v>
      </c>
      <c r="H5" s="28">
        <v>1936</v>
      </c>
      <c r="I5">
        <f>SUM(VLOOKUP(UninsuredTable[[#This Row],[ZIP code]],ModifiedBaseTable!B:R,11,0),VLOOKUP(UninsuredTable[[#This Row],[ZIP code]],ModifiedBaseTable!B:R,17,0))</f>
        <v>263</v>
      </c>
      <c r="J5" s="73">
        <f>UninsuredTable[[#This Row],[Alternate Adj Total Uninsured]]*(UninsuredTable[[#This Row],[Below 138% of FPL - No Health Insurance]]/UninsuredTable[[#This Row],[Total Uninsured Population]])</f>
        <v>178.68464296516601</v>
      </c>
      <c r="K5">
        <v>2006</v>
      </c>
      <c r="L5">
        <v>75</v>
      </c>
      <c r="M5" s="73">
        <f>UninsuredTable[[#This Row],[Alternate Adj Total Uninsured]]*(UninsuredTable[[#This Row],[138% to 199% - No Health Insurance]]/UninsuredTable[[#This Row],[Total Uninsured Population]])</f>
        <v>50.955696663070157</v>
      </c>
      <c r="N5">
        <v>7004</v>
      </c>
      <c r="O5">
        <v>331</v>
      </c>
      <c r="P5" s="73">
        <f>UninsuredTable[[#This Row],[Alternate Adj Total Uninsured]]*(UninsuredTable[[#This Row],[200 to 399% of FPL - No Health Insurance]]/UninsuredTable[[#This Row],[Total Uninsured Population]])</f>
        <v>224.88447460634964</v>
      </c>
      <c r="Q5">
        <v>19317</v>
      </c>
      <c r="R5">
        <v>434</v>
      </c>
      <c r="S5" s="73">
        <f>UninsuredTable[[#This Row],[Alternate Adj Total Uninsured]]*(UninsuredTable[[#This Row],[400% FPL and over - No Health Insurance]]/UninsuredTable[[#This Row],[Total Uninsured Population]])</f>
        <v>294.86363135696598</v>
      </c>
    </row>
    <row r="6" spans="1:19" x14ac:dyDescent="0.3">
      <c r="A6">
        <v>20783</v>
      </c>
      <c r="B6" t="s">
        <v>988</v>
      </c>
      <c r="C6" t="s">
        <v>989</v>
      </c>
      <c r="D6">
        <v>46708</v>
      </c>
      <c r="E6">
        <f t="shared" si="0"/>
        <v>16327</v>
      </c>
      <c r="F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1896</v>
      </c>
      <c r="G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5228.5102747733654</v>
      </c>
      <c r="H6" s="28">
        <v>11850</v>
      </c>
      <c r="I6">
        <f>SUM(VLOOKUP(UninsuredTable[[#This Row],[ZIP code]],ModifiedBaseTable!B:R,11,0),VLOOKUP(UninsuredTable[[#This Row],[ZIP code]],ModifiedBaseTable!B:R,17,0))</f>
        <v>4761</v>
      </c>
      <c r="J6" s="73">
        <f>UninsuredTable[[#This Row],[Alternate Adj Total Uninsured]]*(UninsuredTable[[#This Row],[Below 138% of FPL - No Health Insurance]]/UninsuredTable[[#This Row],[Total Uninsured Population]])</f>
        <v>1524.648583217737</v>
      </c>
      <c r="K6">
        <v>7412</v>
      </c>
      <c r="L6">
        <v>3181</v>
      </c>
      <c r="M6" s="73">
        <f>UninsuredTable[[#This Row],[Alternate Adj Total Uninsured]]*(UninsuredTable[[#This Row],[138% to 199% - No Health Insurance]]/UninsuredTable[[#This Row],[Total Uninsured Population]])</f>
        <v>1018.674048144428</v>
      </c>
      <c r="N6">
        <v>17548</v>
      </c>
      <c r="O6">
        <v>6764</v>
      </c>
      <c r="P6" s="73">
        <f>UninsuredTable[[#This Row],[Alternate Adj Total Uninsured]]*(UninsuredTable[[#This Row],[200 to 399% of FPL - No Health Insurance]]/UninsuredTable[[#This Row],[Total Uninsured Population]])</f>
        <v>2166.0833893897866</v>
      </c>
      <c r="Q6">
        <v>9898</v>
      </c>
      <c r="R6">
        <v>1621</v>
      </c>
      <c r="S6" s="73">
        <f>UninsuredTable[[#This Row],[Alternate Adj Total Uninsured]]*(UninsuredTable[[#This Row],[400% FPL and over - No Health Insurance]]/UninsuredTable[[#This Row],[Total Uninsured Population]])</f>
        <v>519.10425402141391</v>
      </c>
    </row>
    <row r="7" spans="1:19" x14ac:dyDescent="0.3">
      <c r="A7">
        <v>20706</v>
      </c>
      <c r="B7" t="s">
        <v>997</v>
      </c>
      <c r="C7" t="s">
        <v>989</v>
      </c>
      <c r="D7">
        <v>39732</v>
      </c>
      <c r="E7">
        <f t="shared" si="0"/>
        <v>5608</v>
      </c>
      <c r="F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2192.8000000000002</v>
      </c>
      <c r="G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2877.3530527889402</v>
      </c>
      <c r="H7" s="28">
        <v>6422</v>
      </c>
      <c r="I7">
        <f>SUM(VLOOKUP(UninsuredTable[[#This Row],[ZIP code]],ModifiedBaseTable!B:R,11,0),VLOOKUP(UninsuredTable[[#This Row],[ZIP code]],ModifiedBaseTable!B:R,17,0))</f>
        <v>1559</v>
      </c>
      <c r="J7" s="73">
        <f>UninsuredTable[[#This Row],[Alternate Adj Total Uninsured]]*(UninsuredTable[[#This Row],[Below 138% of FPL - No Health Insurance]]/UninsuredTable[[#This Row],[Total Uninsured Population]])</f>
        <v>799.89183475355878</v>
      </c>
      <c r="K7">
        <v>3915</v>
      </c>
      <c r="L7">
        <v>911</v>
      </c>
      <c r="M7" s="73">
        <f>UninsuredTable[[#This Row],[Alternate Adj Total Uninsured]]*(UninsuredTable[[#This Row],[138% to 199% - No Health Insurance]]/UninsuredTable[[#This Row],[Total Uninsured Population]])</f>
        <v>467.41594705612067</v>
      </c>
      <c r="N7">
        <v>13419</v>
      </c>
      <c r="O7">
        <v>2284</v>
      </c>
      <c r="P7" s="73">
        <f>UninsuredTable[[#This Row],[Alternate Adj Total Uninsured]]*(UninsuredTable[[#This Row],[200 to 399% of FPL - No Health Insurance]]/UninsuredTable[[#This Row],[Total Uninsured Population]])</f>
        <v>1171.8748881187482</v>
      </c>
      <c r="Q7">
        <v>15976</v>
      </c>
      <c r="R7">
        <v>854</v>
      </c>
      <c r="S7" s="73">
        <f>UninsuredTable[[#This Row],[Alternate Adj Total Uninsured]]*(UninsuredTable[[#This Row],[400% FPL and over - No Health Insurance]]/UninsuredTable[[#This Row],[Total Uninsured Population]])</f>
        <v>438.17038286051269</v>
      </c>
    </row>
    <row r="8" spans="1:19" x14ac:dyDescent="0.3">
      <c r="A8">
        <v>20602</v>
      </c>
      <c r="B8" t="s">
        <v>1069</v>
      </c>
      <c r="C8" t="s">
        <v>1070</v>
      </c>
      <c r="D8">
        <v>26126</v>
      </c>
      <c r="E8">
        <f t="shared" si="0"/>
        <v>798</v>
      </c>
      <c r="F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798</v>
      </c>
      <c r="G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798</v>
      </c>
      <c r="H8" s="28">
        <v>4214</v>
      </c>
      <c r="I8">
        <f>SUM(VLOOKUP(UninsuredTable[[#This Row],[ZIP code]],ModifiedBaseTable!B:R,11,0),VLOOKUP(UninsuredTable[[#This Row],[ZIP code]],ModifiedBaseTable!B:R,17,0))</f>
        <v>153</v>
      </c>
      <c r="J8" s="73">
        <f>UninsuredTable[[#This Row],[Alternate Adj Total Uninsured]]*(UninsuredTable[[#This Row],[Below 138% of FPL - No Health Insurance]]/UninsuredTable[[#This Row],[Total Uninsured Population]])</f>
        <v>153</v>
      </c>
      <c r="K8">
        <v>2245</v>
      </c>
      <c r="L8">
        <v>71</v>
      </c>
      <c r="M8" s="73">
        <f>UninsuredTable[[#This Row],[Alternate Adj Total Uninsured]]*(UninsuredTable[[#This Row],[138% to 199% - No Health Insurance]]/UninsuredTable[[#This Row],[Total Uninsured Population]])</f>
        <v>71</v>
      </c>
      <c r="N8">
        <v>6964</v>
      </c>
      <c r="O8">
        <v>429</v>
      </c>
      <c r="P8" s="73">
        <f>UninsuredTable[[#This Row],[Alternate Adj Total Uninsured]]*(UninsuredTable[[#This Row],[200 to 399% of FPL - No Health Insurance]]/UninsuredTable[[#This Row],[Total Uninsured Population]])</f>
        <v>429.00000000000006</v>
      </c>
      <c r="Q8">
        <v>12703</v>
      </c>
      <c r="R8">
        <v>145</v>
      </c>
      <c r="S8" s="73">
        <f>UninsuredTable[[#This Row],[Alternate Adj Total Uninsured]]*(UninsuredTable[[#This Row],[400% FPL and over - No Health Insurance]]/UninsuredTable[[#This Row],[Total Uninsured Population]])</f>
        <v>145</v>
      </c>
    </row>
    <row r="9" spans="1:19" x14ac:dyDescent="0.3">
      <c r="A9">
        <v>20659</v>
      </c>
      <c r="B9" t="s">
        <v>1060</v>
      </c>
      <c r="C9" t="s">
        <v>1053</v>
      </c>
      <c r="D9">
        <v>23361</v>
      </c>
      <c r="E9">
        <f t="shared" si="0"/>
        <v>1525</v>
      </c>
      <c r="F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1168</v>
      </c>
      <c r="G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1183.5200378204679</v>
      </c>
      <c r="H9" s="28">
        <v>2310</v>
      </c>
      <c r="I9">
        <f>SUM(VLOOKUP(UninsuredTable[[#This Row],[ZIP code]],ModifiedBaseTable!B:R,11,0),VLOOKUP(UninsuredTable[[#This Row],[ZIP code]],ModifiedBaseTable!B:R,17,0))</f>
        <v>163</v>
      </c>
      <c r="J9" s="73">
        <f>UninsuredTable[[#This Row],[Alternate Adj Total Uninsured]]*(UninsuredTable[[#This Row],[Below 138% of FPL - No Health Insurance]]/UninsuredTable[[#This Row],[Total Uninsured Population]])</f>
        <v>126.50083027195822</v>
      </c>
      <c r="K9">
        <v>1796</v>
      </c>
      <c r="L9">
        <v>200</v>
      </c>
      <c r="M9" s="73">
        <f>UninsuredTable[[#This Row],[Alternate Adj Total Uninsured]]*(UninsuredTable[[#This Row],[138% to 199% - No Health Insurance]]/UninsuredTable[[#This Row],[Total Uninsured Population]])</f>
        <v>155.21574266497942</v>
      </c>
      <c r="N9">
        <v>5217</v>
      </c>
      <c r="O9">
        <v>654</v>
      </c>
      <c r="P9" s="73">
        <f>UninsuredTable[[#This Row],[Alternate Adj Total Uninsured]]*(UninsuredTable[[#This Row],[200 to 399% of FPL - No Health Insurance]]/UninsuredTable[[#This Row],[Total Uninsured Population]])</f>
        <v>507.55547851448267</v>
      </c>
      <c r="Q9">
        <v>14038</v>
      </c>
      <c r="R9">
        <v>508</v>
      </c>
      <c r="S9" s="73">
        <f>UninsuredTable[[#This Row],[Alternate Adj Total Uninsured]]*(UninsuredTable[[#This Row],[400% FPL and over - No Health Insurance]]/UninsuredTable[[#This Row],[Total Uninsured Population]])</f>
        <v>394.24798636904768</v>
      </c>
    </row>
    <row r="10" spans="1:19" x14ac:dyDescent="0.3">
      <c r="A10">
        <v>20653</v>
      </c>
      <c r="B10" t="s">
        <v>1052</v>
      </c>
      <c r="C10" t="s">
        <v>1053</v>
      </c>
      <c r="D10">
        <v>22628</v>
      </c>
      <c r="E10">
        <f t="shared" si="0"/>
        <v>1615</v>
      </c>
      <c r="F1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817.6</v>
      </c>
      <c r="G1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959.19049888519066</v>
      </c>
      <c r="H10" s="28">
        <v>3985</v>
      </c>
      <c r="I10">
        <f>SUM(VLOOKUP(UninsuredTable[[#This Row],[ZIP code]],ModifiedBaseTable!B:R,11,0),VLOOKUP(UninsuredTable[[#This Row],[ZIP code]],ModifiedBaseTable!B:R,17,0))</f>
        <v>286</v>
      </c>
      <c r="J10" s="73">
        <f>UninsuredTable[[#This Row],[Alternate Adj Total Uninsured]]*(UninsuredTable[[#This Row],[Below 138% of FPL - No Health Insurance]]/UninsuredTable[[#This Row],[Total Uninsured Population]])</f>
        <v>169.8628375734765</v>
      </c>
      <c r="K10">
        <v>2056</v>
      </c>
      <c r="L10">
        <v>395</v>
      </c>
      <c r="M10" s="73">
        <f>UninsuredTable[[#This Row],[Alternate Adj Total Uninsured]]*(UninsuredTable[[#This Row],[138% to 199% - No Health Insurance]]/UninsuredTable[[#This Row],[Total Uninsured Population]])</f>
        <v>234.60077217315808</v>
      </c>
      <c r="N10">
        <v>6470</v>
      </c>
      <c r="O10">
        <v>687</v>
      </c>
      <c r="P10" s="73">
        <f>UninsuredTable[[#This Row],[Alternate Adj Total Uninsured]]*(UninsuredTable[[#This Row],[200 to 399% of FPL - No Health Insurance]]/UninsuredTable[[#This Row],[Total Uninsured Population]])</f>
        <v>408.02716577964458</v>
      </c>
      <c r="Q10">
        <v>10117</v>
      </c>
      <c r="R10">
        <v>247</v>
      </c>
      <c r="S10" s="73">
        <f>UninsuredTable[[#This Row],[Alternate Adj Total Uninsured]]*(UninsuredTable[[#This Row],[400% FPL and over - No Health Insurance]]/UninsuredTable[[#This Row],[Total Uninsured Population]])</f>
        <v>146.69972335891151</v>
      </c>
    </row>
    <row r="11" spans="1:19" x14ac:dyDescent="0.3">
      <c r="A11">
        <v>20650</v>
      </c>
      <c r="B11" t="s">
        <v>1077</v>
      </c>
      <c r="C11" t="s">
        <v>1053</v>
      </c>
      <c r="D11">
        <v>13626</v>
      </c>
      <c r="E11">
        <f t="shared" si="0"/>
        <v>861</v>
      </c>
      <c r="F1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861</v>
      </c>
      <c r="G1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861</v>
      </c>
      <c r="H11" s="28">
        <v>1704</v>
      </c>
      <c r="I11">
        <f>SUM(VLOOKUP(UninsuredTable[[#This Row],[ZIP code]],ModifiedBaseTable!B:R,11,0),VLOOKUP(UninsuredTable[[#This Row],[ZIP code]],ModifiedBaseTable!B:R,17,0))</f>
        <v>310</v>
      </c>
      <c r="J11" s="73">
        <f>UninsuredTable[[#This Row],[Alternate Adj Total Uninsured]]*(UninsuredTable[[#This Row],[Below 138% of FPL - No Health Insurance]]/UninsuredTable[[#This Row],[Total Uninsured Population]])</f>
        <v>310</v>
      </c>
      <c r="K11">
        <v>350</v>
      </c>
      <c r="L11">
        <v>38</v>
      </c>
      <c r="M11" s="73">
        <f>UninsuredTable[[#This Row],[Alternate Adj Total Uninsured]]*(UninsuredTable[[#This Row],[138% to 199% - No Health Insurance]]/UninsuredTable[[#This Row],[Total Uninsured Population]])</f>
        <v>38</v>
      </c>
      <c r="N11">
        <v>3112</v>
      </c>
      <c r="O11">
        <v>220</v>
      </c>
      <c r="P11" s="73">
        <f>UninsuredTable[[#This Row],[Alternate Adj Total Uninsured]]*(UninsuredTable[[#This Row],[200 to 399% of FPL - No Health Insurance]]/UninsuredTable[[#This Row],[Total Uninsured Population]])</f>
        <v>220</v>
      </c>
      <c r="Q11">
        <v>8460</v>
      </c>
      <c r="R11">
        <v>293</v>
      </c>
      <c r="S11" s="73">
        <f>UninsuredTable[[#This Row],[Alternate Adj Total Uninsured]]*(UninsuredTable[[#This Row],[400% FPL and over - No Health Insurance]]/UninsuredTable[[#This Row],[Total Uninsured Population]])</f>
        <v>293</v>
      </c>
    </row>
    <row r="12" spans="1:19" x14ac:dyDescent="0.3">
      <c r="A12">
        <v>20622</v>
      </c>
      <c r="B12" t="s">
        <v>1105</v>
      </c>
      <c r="C12" t="s">
        <v>1053</v>
      </c>
      <c r="D12">
        <v>5259</v>
      </c>
      <c r="E12">
        <f t="shared" si="0"/>
        <v>699</v>
      </c>
      <c r="F1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699</v>
      </c>
      <c r="G1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699</v>
      </c>
      <c r="H12" s="28">
        <v>801</v>
      </c>
      <c r="I12">
        <f>SUM(VLOOKUP(UninsuredTable[[#This Row],[ZIP code]],ModifiedBaseTable!B:R,11,0),VLOOKUP(UninsuredTable[[#This Row],[ZIP code]],ModifiedBaseTable!B:R,17,0))</f>
        <v>159</v>
      </c>
      <c r="J12" s="73">
        <f>UninsuredTable[[#This Row],[Alternate Adj Total Uninsured]]*(UninsuredTable[[#This Row],[Below 138% of FPL - No Health Insurance]]/UninsuredTable[[#This Row],[Total Uninsured Population]])</f>
        <v>159</v>
      </c>
      <c r="K12">
        <v>85</v>
      </c>
      <c r="L12">
        <v>0</v>
      </c>
      <c r="M12" s="73">
        <f>UninsuredTable[[#This Row],[Alternate Adj Total Uninsured]]*(UninsuredTable[[#This Row],[138% to 199% - No Health Insurance]]/UninsuredTable[[#This Row],[Total Uninsured Population]])</f>
        <v>0</v>
      </c>
      <c r="N12">
        <v>1570</v>
      </c>
      <c r="O12">
        <v>409</v>
      </c>
      <c r="P12" s="73">
        <f>UninsuredTable[[#This Row],[Alternate Adj Total Uninsured]]*(UninsuredTable[[#This Row],[200 to 399% of FPL - No Health Insurance]]/UninsuredTable[[#This Row],[Total Uninsured Population]])</f>
        <v>409</v>
      </c>
      <c r="Q12">
        <v>2803</v>
      </c>
      <c r="R12">
        <v>131</v>
      </c>
      <c r="S12" s="73">
        <f>UninsuredTable[[#This Row],[Alternate Adj Total Uninsured]]*(UninsuredTable[[#This Row],[400% FPL and over - No Health Insurance]]/UninsuredTable[[#This Row],[Total Uninsured Population]])</f>
        <v>131</v>
      </c>
    </row>
    <row r="13" spans="1:19" x14ac:dyDescent="0.3">
      <c r="A13">
        <v>20639</v>
      </c>
      <c r="B13" t="s">
        <v>1089</v>
      </c>
      <c r="C13" t="s">
        <v>1055</v>
      </c>
      <c r="D13">
        <v>14457</v>
      </c>
      <c r="E13">
        <f t="shared" si="0"/>
        <v>784</v>
      </c>
      <c r="F1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784</v>
      </c>
      <c r="G1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784</v>
      </c>
      <c r="H13" s="28">
        <v>1000</v>
      </c>
      <c r="I13">
        <f>SUM(VLOOKUP(UninsuredTable[[#This Row],[ZIP code]],ModifiedBaseTable!B:R,11,0),VLOOKUP(UninsuredTable[[#This Row],[ZIP code]],ModifiedBaseTable!B:R,17,0))</f>
        <v>114</v>
      </c>
      <c r="J13" s="73">
        <f>UninsuredTable[[#This Row],[Alternate Adj Total Uninsured]]*(UninsuredTable[[#This Row],[Below 138% of FPL - No Health Insurance]]/UninsuredTable[[#This Row],[Total Uninsured Population]])</f>
        <v>114</v>
      </c>
      <c r="K13">
        <v>218</v>
      </c>
      <c r="L13">
        <v>83</v>
      </c>
      <c r="M13" s="73">
        <f>UninsuredTable[[#This Row],[Alternate Adj Total Uninsured]]*(UninsuredTable[[#This Row],[138% to 199% - No Health Insurance]]/UninsuredTable[[#This Row],[Total Uninsured Population]])</f>
        <v>83</v>
      </c>
      <c r="N13">
        <v>2743</v>
      </c>
      <c r="O13">
        <v>370</v>
      </c>
      <c r="P13" s="73">
        <f>UninsuredTable[[#This Row],[Alternate Adj Total Uninsured]]*(UninsuredTable[[#This Row],[200 to 399% of FPL - No Health Insurance]]/UninsuredTable[[#This Row],[Total Uninsured Population]])</f>
        <v>370</v>
      </c>
      <c r="Q13">
        <v>10496</v>
      </c>
      <c r="R13">
        <v>217</v>
      </c>
      <c r="S13" s="73">
        <f>UninsuredTable[[#This Row],[Alternate Adj Total Uninsured]]*(UninsuredTable[[#This Row],[400% FPL and over - No Health Insurance]]/UninsuredTable[[#This Row],[Total Uninsured Population]])</f>
        <v>217</v>
      </c>
    </row>
    <row r="14" spans="1:19" x14ac:dyDescent="0.3">
      <c r="A14">
        <v>20640</v>
      </c>
      <c r="B14" t="s">
        <v>1128</v>
      </c>
      <c r="C14" t="s">
        <v>1070</v>
      </c>
      <c r="D14">
        <v>10126</v>
      </c>
      <c r="E14">
        <f t="shared" si="0"/>
        <v>512</v>
      </c>
      <c r="F1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512</v>
      </c>
      <c r="G1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512</v>
      </c>
      <c r="H14" s="28">
        <v>1785</v>
      </c>
      <c r="I14">
        <f>SUM(VLOOKUP(UninsuredTable[[#This Row],[ZIP code]],ModifiedBaseTable!B:R,11,0),VLOOKUP(UninsuredTable[[#This Row],[ZIP code]],ModifiedBaseTable!B:R,17,0))</f>
        <v>155</v>
      </c>
      <c r="J14" s="73">
        <f>UninsuredTable[[#This Row],[Alternate Adj Total Uninsured]]*(UninsuredTable[[#This Row],[Below 138% of FPL - No Health Insurance]]/UninsuredTable[[#This Row],[Total Uninsured Population]])</f>
        <v>155</v>
      </c>
      <c r="K14">
        <v>836</v>
      </c>
      <c r="L14">
        <v>92</v>
      </c>
      <c r="M14" s="73">
        <f>UninsuredTable[[#This Row],[Alternate Adj Total Uninsured]]*(UninsuredTable[[#This Row],[138% to 199% - No Health Insurance]]/UninsuredTable[[#This Row],[Total Uninsured Population]])</f>
        <v>92</v>
      </c>
      <c r="N14">
        <v>3187</v>
      </c>
      <c r="O14">
        <v>132</v>
      </c>
      <c r="P14" s="73">
        <f>UninsuredTable[[#This Row],[Alternate Adj Total Uninsured]]*(UninsuredTable[[#This Row],[200 to 399% of FPL - No Health Insurance]]/UninsuredTable[[#This Row],[Total Uninsured Population]])</f>
        <v>132</v>
      </c>
      <c r="Q14">
        <v>4318</v>
      </c>
      <c r="R14">
        <v>133</v>
      </c>
      <c r="S14" s="73">
        <f>UninsuredTable[[#This Row],[Alternate Adj Total Uninsured]]*(UninsuredTable[[#This Row],[400% FPL and over - No Health Insurance]]/UninsuredTable[[#This Row],[Total Uninsured Population]])</f>
        <v>133</v>
      </c>
    </row>
    <row r="15" spans="1:19" x14ac:dyDescent="0.3">
      <c r="A15">
        <v>20616</v>
      </c>
      <c r="B15" t="s">
        <v>1147</v>
      </c>
      <c r="C15" t="s">
        <v>1070</v>
      </c>
      <c r="D15">
        <v>6200</v>
      </c>
      <c r="E15">
        <f t="shared" si="0"/>
        <v>383</v>
      </c>
      <c r="F1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383</v>
      </c>
      <c r="G1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383</v>
      </c>
      <c r="H15" s="28">
        <v>556</v>
      </c>
      <c r="I15">
        <f>SUM(VLOOKUP(UninsuredTable[[#This Row],[ZIP code]],ModifiedBaseTable!B:R,11,0),VLOOKUP(UninsuredTable[[#This Row],[ZIP code]],ModifiedBaseTable!B:R,17,0))</f>
        <v>99</v>
      </c>
      <c r="J15" s="73">
        <f>UninsuredTable[[#This Row],[Alternate Adj Total Uninsured]]*(UninsuredTable[[#This Row],[Below 138% of FPL - No Health Insurance]]/UninsuredTable[[#This Row],[Total Uninsured Population]])</f>
        <v>99</v>
      </c>
      <c r="K15">
        <v>306</v>
      </c>
      <c r="L15">
        <v>21</v>
      </c>
      <c r="M15" s="73">
        <f>UninsuredTable[[#This Row],[Alternate Adj Total Uninsured]]*(UninsuredTable[[#This Row],[138% to 199% - No Health Insurance]]/UninsuredTable[[#This Row],[Total Uninsured Population]])</f>
        <v>21</v>
      </c>
      <c r="N15">
        <v>1845</v>
      </c>
      <c r="O15">
        <v>89</v>
      </c>
      <c r="P15" s="73">
        <f>UninsuredTable[[#This Row],[Alternate Adj Total Uninsured]]*(UninsuredTable[[#This Row],[200 to 399% of FPL - No Health Insurance]]/UninsuredTable[[#This Row],[Total Uninsured Population]])</f>
        <v>89</v>
      </c>
      <c r="Q15">
        <v>3493</v>
      </c>
      <c r="R15">
        <v>174</v>
      </c>
      <c r="S15" s="73">
        <f>UninsuredTable[[#This Row],[Alternate Adj Total Uninsured]]*(UninsuredTable[[#This Row],[400% FPL and over - No Health Insurance]]/UninsuredTable[[#This Row],[Total Uninsured Population]])</f>
        <v>174</v>
      </c>
    </row>
    <row r="16" spans="1:19" x14ac:dyDescent="0.3">
      <c r="A16">
        <v>20619</v>
      </c>
      <c r="B16" t="s">
        <v>1112</v>
      </c>
      <c r="C16" t="s">
        <v>1053</v>
      </c>
      <c r="D16">
        <v>12196</v>
      </c>
      <c r="E16">
        <f t="shared" si="0"/>
        <v>562</v>
      </c>
      <c r="F1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562</v>
      </c>
      <c r="G1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562</v>
      </c>
      <c r="H16" s="28">
        <v>833</v>
      </c>
      <c r="I16">
        <f>SUM(VLOOKUP(UninsuredTable[[#This Row],[ZIP code]],ModifiedBaseTable!B:R,11,0),VLOOKUP(UninsuredTable[[#This Row],[ZIP code]],ModifiedBaseTable!B:R,17,0))</f>
        <v>283</v>
      </c>
      <c r="J16" s="73">
        <f>UninsuredTable[[#This Row],[Alternate Adj Total Uninsured]]*(UninsuredTable[[#This Row],[Below 138% of FPL - No Health Insurance]]/UninsuredTable[[#This Row],[Total Uninsured Population]])</f>
        <v>283</v>
      </c>
      <c r="K16">
        <v>1359</v>
      </c>
      <c r="L16">
        <v>35</v>
      </c>
      <c r="M16" s="73">
        <f>UninsuredTable[[#This Row],[Alternate Adj Total Uninsured]]*(UninsuredTable[[#This Row],[138% to 199% - No Health Insurance]]/UninsuredTable[[#This Row],[Total Uninsured Population]])</f>
        <v>35</v>
      </c>
      <c r="N16">
        <v>3125</v>
      </c>
      <c r="O16">
        <v>95</v>
      </c>
      <c r="P16" s="73">
        <f>UninsuredTable[[#This Row],[Alternate Adj Total Uninsured]]*(UninsuredTable[[#This Row],[200 to 399% of FPL - No Health Insurance]]/UninsuredTable[[#This Row],[Total Uninsured Population]])</f>
        <v>95</v>
      </c>
      <c r="Q16">
        <v>6879</v>
      </c>
      <c r="R16">
        <v>149</v>
      </c>
      <c r="S16" s="73">
        <f>UninsuredTable[[#This Row],[Alternate Adj Total Uninsured]]*(UninsuredTable[[#This Row],[400% FPL and over - No Health Insurance]]/UninsuredTable[[#This Row],[Total Uninsured Population]])</f>
        <v>149</v>
      </c>
    </row>
    <row r="17" spans="1:19" x14ac:dyDescent="0.3">
      <c r="A17">
        <v>20634</v>
      </c>
      <c r="B17" t="s">
        <v>1120</v>
      </c>
      <c r="C17" t="s">
        <v>1053</v>
      </c>
      <c r="D17">
        <v>7334</v>
      </c>
      <c r="E17">
        <f t="shared" si="0"/>
        <v>498</v>
      </c>
      <c r="F1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498</v>
      </c>
      <c r="G1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498</v>
      </c>
      <c r="H17" s="28">
        <v>1116</v>
      </c>
      <c r="I17">
        <f>SUM(VLOOKUP(UninsuredTable[[#This Row],[ZIP code]],ModifiedBaseTable!B:R,11,0),VLOOKUP(UninsuredTable[[#This Row],[ZIP code]],ModifiedBaseTable!B:R,17,0))</f>
        <v>97</v>
      </c>
      <c r="J17" s="73">
        <f>UninsuredTable[[#This Row],[Alternate Adj Total Uninsured]]*(UninsuredTable[[#This Row],[Below 138% of FPL - No Health Insurance]]/UninsuredTable[[#This Row],[Total Uninsured Population]])</f>
        <v>97</v>
      </c>
      <c r="K17">
        <v>282</v>
      </c>
      <c r="L17">
        <v>0</v>
      </c>
      <c r="M17" s="73">
        <f>UninsuredTable[[#This Row],[Alternate Adj Total Uninsured]]*(UninsuredTable[[#This Row],[138% to 199% - No Health Insurance]]/UninsuredTable[[#This Row],[Total Uninsured Population]])</f>
        <v>0</v>
      </c>
      <c r="N17">
        <v>2866</v>
      </c>
      <c r="O17">
        <v>314</v>
      </c>
      <c r="P17" s="73">
        <f>UninsuredTable[[#This Row],[Alternate Adj Total Uninsured]]*(UninsuredTable[[#This Row],[200 to 399% of FPL - No Health Insurance]]/UninsuredTable[[#This Row],[Total Uninsured Population]])</f>
        <v>314</v>
      </c>
      <c r="Q17">
        <v>3070</v>
      </c>
      <c r="R17">
        <v>87</v>
      </c>
      <c r="S17" s="73">
        <f>UninsuredTable[[#This Row],[Alternate Adj Total Uninsured]]*(UninsuredTable[[#This Row],[400% FPL and over - No Health Insurance]]/UninsuredTable[[#This Row],[Total Uninsured Population]])</f>
        <v>87</v>
      </c>
    </row>
    <row r="18" spans="1:19" x14ac:dyDescent="0.3">
      <c r="A18">
        <v>20657</v>
      </c>
      <c r="B18" t="s">
        <v>1054</v>
      </c>
      <c r="C18" t="s">
        <v>1055</v>
      </c>
      <c r="D18">
        <v>18439</v>
      </c>
      <c r="E18">
        <f t="shared" si="0"/>
        <v>1347</v>
      </c>
      <c r="F1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996</v>
      </c>
      <c r="G1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1020.3545208875034</v>
      </c>
      <c r="H18" s="28">
        <v>2211</v>
      </c>
      <c r="I18">
        <f>SUM(VLOOKUP(UninsuredTable[[#This Row],[ZIP code]],ModifiedBaseTable!B:R,11,0),VLOOKUP(UninsuredTable[[#This Row],[ZIP code]],ModifiedBaseTable!B:R,17,0))</f>
        <v>314</v>
      </c>
      <c r="J18" s="73">
        <f>UninsuredTable[[#This Row],[Alternate Adj Total Uninsured]]*(UninsuredTable[[#This Row],[Below 138% of FPL - No Health Insurance]]/UninsuredTable[[#This Row],[Total Uninsured Population]])</f>
        <v>237.85547109033118</v>
      </c>
      <c r="K18">
        <v>1353</v>
      </c>
      <c r="L18">
        <v>262</v>
      </c>
      <c r="M18" s="73">
        <f>UninsuredTable[[#This Row],[Alternate Adj Total Uninsured]]*(UninsuredTable[[#This Row],[138% to 199% - No Health Insurance]]/UninsuredTable[[#This Row],[Total Uninsured Population]])</f>
        <v>198.46539307537185</v>
      </c>
      <c r="N18">
        <v>5104</v>
      </c>
      <c r="O18">
        <v>528</v>
      </c>
      <c r="P18" s="73">
        <f>UninsuredTable[[#This Row],[Alternate Adj Total Uninsured]]*(UninsuredTable[[#This Row],[200 to 399% of FPL - No Health Insurance]]/UninsuredTable[[#This Row],[Total Uninsured Population]])</f>
        <v>399.9607921518944</v>
      </c>
      <c r="Q18">
        <v>9771</v>
      </c>
      <c r="R18">
        <v>243</v>
      </c>
      <c r="S18" s="73">
        <f>UninsuredTable[[#This Row],[Alternate Adj Total Uninsured]]*(UninsuredTable[[#This Row],[400% FPL and over - No Health Insurance]]/UninsuredTable[[#This Row],[Total Uninsured Population]])</f>
        <v>184.07286456990596</v>
      </c>
    </row>
    <row r="19" spans="1:19" x14ac:dyDescent="0.3">
      <c r="A19">
        <v>20636</v>
      </c>
      <c r="B19" t="s">
        <v>1152</v>
      </c>
      <c r="C19" t="s">
        <v>1053</v>
      </c>
      <c r="D19">
        <v>11217</v>
      </c>
      <c r="E19">
        <f t="shared" si="0"/>
        <v>326</v>
      </c>
      <c r="F1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326</v>
      </c>
      <c r="G1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326</v>
      </c>
      <c r="H19" s="28">
        <v>514</v>
      </c>
      <c r="I19">
        <f>SUM(VLOOKUP(UninsuredTable[[#This Row],[ZIP code]],ModifiedBaseTable!B:R,11,0),VLOOKUP(UninsuredTable[[#This Row],[ZIP code]],ModifiedBaseTable!B:R,17,0))</f>
        <v>0</v>
      </c>
      <c r="J19" s="73">
        <f>UninsuredTable[[#This Row],[Alternate Adj Total Uninsured]]*(UninsuredTable[[#This Row],[Below 138% of FPL - No Health Insurance]]/UninsuredTable[[#This Row],[Total Uninsured Population]])</f>
        <v>0</v>
      </c>
      <c r="K19">
        <v>542</v>
      </c>
      <c r="L19">
        <v>75</v>
      </c>
      <c r="M19" s="73">
        <f>UninsuredTable[[#This Row],[Alternate Adj Total Uninsured]]*(UninsuredTable[[#This Row],[138% to 199% - No Health Insurance]]/UninsuredTable[[#This Row],[Total Uninsured Population]])</f>
        <v>75</v>
      </c>
      <c r="N19">
        <v>3809</v>
      </c>
      <c r="O19">
        <v>207</v>
      </c>
      <c r="P19" s="73">
        <f>UninsuredTable[[#This Row],[Alternate Adj Total Uninsured]]*(UninsuredTable[[#This Row],[200 to 399% of FPL - No Health Insurance]]/UninsuredTable[[#This Row],[Total Uninsured Population]])</f>
        <v>207</v>
      </c>
      <c r="Q19">
        <v>6352</v>
      </c>
      <c r="R19">
        <v>44</v>
      </c>
      <c r="S19" s="73">
        <f>UninsuredTable[[#This Row],[Alternate Adj Total Uninsured]]*(UninsuredTable[[#This Row],[400% FPL and over - No Health Insurance]]/UninsuredTable[[#This Row],[Total Uninsured Population]])</f>
        <v>44</v>
      </c>
    </row>
    <row r="20" spans="1:19" x14ac:dyDescent="0.3">
      <c r="A20">
        <v>20678</v>
      </c>
      <c r="B20" t="s">
        <v>1103</v>
      </c>
      <c r="C20" t="s">
        <v>1055</v>
      </c>
      <c r="D20">
        <v>12108</v>
      </c>
      <c r="E20">
        <f t="shared" si="0"/>
        <v>733</v>
      </c>
      <c r="F2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733</v>
      </c>
      <c r="G2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733</v>
      </c>
      <c r="H20" s="28">
        <v>1379</v>
      </c>
      <c r="I20">
        <f>SUM(VLOOKUP(UninsuredTable[[#This Row],[ZIP code]],ModifiedBaseTable!B:R,11,0),VLOOKUP(UninsuredTable[[#This Row],[ZIP code]],ModifiedBaseTable!B:R,17,0))</f>
        <v>218</v>
      </c>
      <c r="J20" s="73">
        <f>UninsuredTable[[#This Row],[Alternate Adj Total Uninsured]]*(UninsuredTable[[#This Row],[Below 138% of FPL - No Health Insurance]]/UninsuredTable[[#This Row],[Total Uninsured Population]])</f>
        <v>218</v>
      </c>
      <c r="K20">
        <v>831</v>
      </c>
      <c r="L20">
        <v>89</v>
      </c>
      <c r="M20" s="73">
        <f>UninsuredTable[[#This Row],[Alternate Adj Total Uninsured]]*(UninsuredTable[[#This Row],[138% to 199% - No Health Insurance]]/UninsuredTable[[#This Row],[Total Uninsured Population]])</f>
        <v>89</v>
      </c>
      <c r="N20">
        <v>2816</v>
      </c>
      <c r="O20">
        <v>199</v>
      </c>
      <c r="P20" s="73">
        <f>UninsuredTable[[#This Row],[Alternate Adj Total Uninsured]]*(UninsuredTable[[#This Row],[200 to 399% of FPL - No Health Insurance]]/UninsuredTable[[#This Row],[Total Uninsured Population]])</f>
        <v>199.00000000000003</v>
      </c>
      <c r="Q20">
        <v>7082</v>
      </c>
      <c r="R20">
        <v>227</v>
      </c>
      <c r="S20" s="73">
        <f>UninsuredTable[[#This Row],[Alternate Adj Total Uninsured]]*(UninsuredTable[[#This Row],[400% FPL and over - No Health Insurance]]/UninsuredTable[[#This Row],[Total Uninsured Population]])</f>
        <v>227</v>
      </c>
    </row>
    <row r="21" spans="1:19" x14ac:dyDescent="0.3">
      <c r="A21">
        <v>20685</v>
      </c>
      <c r="B21" t="s">
        <v>1148</v>
      </c>
      <c r="C21" t="s">
        <v>1055</v>
      </c>
      <c r="D21">
        <v>6472</v>
      </c>
      <c r="E21">
        <f t="shared" si="0"/>
        <v>363</v>
      </c>
      <c r="F2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363</v>
      </c>
      <c r="G2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363</v>
      </c>
      <c r="H21" s="28">
        <v>757</v>
      </c>
      <c r="I21">
        <f>SUM(VLOOKUP(UninsuredTable[[#This Row],[ZIP code]],ModifiedBaseTable!B:R,11,0),VLOOKUP(UninsuredTable[[#This Row],[ZIP code]],ModifiedBaseTable!B:R,17,0))</f>
        <v>186</v>
      </c>
      <c r="J21" s="73">
        <f>UninsuredTable[[#This Row],[Alternate Adj Total Uninsured]]*(UninsuredTable[[#This Row],[Below 138% of FPL - No Health Insurance]]/UninsuredTable[[#This Row],[Total Uninsured Population]])</f>
        <v>185.99999999999997</v>
      </c>
      <c r="K21">
        <v>219</v>
      </c>
      <c r="L21">
        <v>37</v>
      </c>
      <c r="M21" s="73">
        <f>UninsuredTable[[#This Row],[Alternate Adj Total Uninsured]]*(UninsuredTable[[#This Row],[138% to 199% - No Health Insurance]]/UninsuredTable[[#This Row],[Total Uninsured Population]])</f>
        <v>37</v>
      </c>
      <c r="N21">
        <v>1579</v>
      </c>
      <c r="O21">
        <v>51</v>
      </c>
      <c r="P21" s="73">
        <f>UninsuredTable[[#This Row],[Alternate Adj Total Uninsured]]*(UninsuredTable[[#This Row],[200 to 399% of FPL - No Health Insurance]]/UninsuredTable[[#This Row],[Total Uninsured Population]])</f>
        <v>51</v>
      </c>
      <c r="Q21">
        <v>3917</v>
      </c>
      <c r="R21">
        <v>89</v>
      </c>
      <c r="S21" s="73">
        <f>UninsuredTable[[#This Row],[Alternate Adj Total Uninsured]]*(UninsuredTable[[#This Row],[400% FPL and over - No Health Insurance]]/UninsuredTable[[#This Row],[Total Uninsured Population]])</f>
        <v>89</v>
      </c>
    </row>
    <row r="22" spans="1:19" x14ac:dyDescent="0.3">
      <c r="A22">
        <v>20782</v>
      </c>
      <c r="B22" t="s">
        <v>988</v>
      </c>
      <c r="C22" t="s">
        <v>989</v>
      </c>
      <c r="D22">
        <v>32322</v>
      </c>
      <c r="E22">
        <f t="shared" si="0"/>
        <v>6133</v>
      </c>
      <c r="F2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1434.4</v>
      </c>
      <c r="G2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2470.6609867820021</v>
      </c>
      <c r="H22" s="28">
        <v>5880</v>
      </c>
      <c r="I22">
        <f>SUM(VLOOKUP(UninsuredTable[[#This Row],[ZIP code]],ModifiedBaseTable!B:R,11,0),VLOOKUP(UninsuredTable[[#This Row],[ZIP code]],ModifiedBaseTable!B:R,17,0))</f>
        <v>1629</v>
      </c>
      <c r="J22" s="73">
        <f>UninsuredTable[[#This Row],[Alternate Adj Total Uninsured]]*(UninsuredTable[[#This Row],[Below 138% of FPL - No Health Insurance]]/UninsuredTable[[#This Row],[Total Uninsured Population]])</f>
        <v>656.23785218781688</v>
      </c>
      <c r="K22">
        <v>3940</v>
      </c>
      <c r="L22">
        <v>962</v>
      </c>
      <c r="M22" s="73">
        <f>UninsuredTable[[#This Row],[Alternate Adj Total Uninsured]]*(UninsuredTable[[#This Row],[138% to 199% - No Health Insurance]]/UninsuredTable[[#This Row],[Total Uninsured Population]])</f>
        <v>387.53886666953952</v>
      </c>
      <c r="N22">
        <v>11828</v>
      </c>
      <c r="O22">
        <v>2674</v>
      </c>
      <c r="P22" s="73">
        <f>UninsuredTable[[#This Row],[Alternate Adj Total Uninsured]]*(UninsuredTable[[#This Row],[200 to 399% of FPL - No Health Insurance]]/UninsuredTable[[#This Row],[Total Uninsured Population]])</f>
        <v>1077.2130244016098</v>
      </c>
      <c r="Q22">
        <v>10674</v>
      </c>
      <c r="R22">
        <v>868</v>
      </c>
      <c r="S22" s="73">
        <f>UninsuredTable[[#This Row],[Alternate Adj Total Uninsured]]*(UninsuredTable[[#This Row],[400% FPL and over - No Health Insurance]]/UninsuredTable[[#This Row],[Total Uninsured Population]])</f>
        <v>349.67124352303563</v>
      </c>
    </row>
    <row r="23" spans="1:19" x14ac:dyDescent="0.3">
      <c r="A23">
        <v>20744</v>
      </c>
      <c r="B23" t="s">
        <v>1001</v>
      </c>
      <c r="C23" t="s">
        <v>989</v>
      </c>
      <c r="D23">
        <v>53694</v>
      </c>
      <c r="E23">
        <f t="shared" si="0"/>
        <v>4981</v>
      </c>
      <c r="F2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2552</v>
      </c>
      <c r="G2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2979.6367344070431</v>
      </c>
      <c r="H23" s="28">
        <v>6201</v>
      </c>
      <c r="I23">
        <f>SUM(VLOOKUP(UninsuredTable[[#This Row],[ZIP code]],ModifiedBaseTable!B:R,11,0),VLOOKUP(UninsuredTable[[#This Row],[ZIP code]],ModifiedBaseTable!B:R,17,0))</f>
        <v>1407</v>
      </c>
      <c r="J23" s="73">
        <f>UninsuredTable[[#This Row],[Alternate Adj Total Uninsured]]*(UninsuredTable[[#This Row],[Below 138% of FPL - No Health Insurance]]/UninsuredTable[[#This Row],[Total Uninsured Population]])</f>
        <v>841.6681159025718</v>
      </c>
      <c r="K23">
        <v>3153</v>
      </c>
      <c r="L23">
        <v>405</v>
      </c>
      <c r="M23" s="73">
        <f>UninsuredTable[[#This Row],[Alternate Adj Total Uninsured]]*(UninsuredTable[[#This Row],[138% to 199% - No Health Insurance]]/UninsuredTable[[#This Row],[Total Uninsured Population]])</f>
        <v>242.27120607003661</v>
      </c>
      <c r="N23">
        <v>11677</v>
      </c>
      <c r="O23">
        <v>1858</v>
      </c>
      <c r="P23" s="73">
        <f>UninsuredTable[[#This Row],[Alternate Adj Total Uninsured]]*(UninsuredTable[[#This Row],[200 to 399% of FPL - No Health Insurance]]/UninsuredTable[[#This Row],[Total Uninsured Population]])</f>
        <v>1111.456545378094</v>
      </c>
      <c r="Q23">
        <v>32663</v>
      </c>
      <c r="R23">
        <v>1311</v>
      </c>
      <c r="S23" s="73">
        <f>UninsuredTable[[#This Row],[Alternate Adj Total Uninsured]]*(UninsuredTable[[#This Row],[400% FPL and over - No Health Insurance]]/UninsuredTable[[#This Row],[Total Uninsured Population]])</f>
        <v>784.24086705634079</v>
      </c>
    </row>
    <row r="24" spans="1:19" x14ac:dyDescent="0.3">
      <c r="A24">
        <v>20737</v>
      </c>
      <c r="B24" t="s">
        <v>1004</v>
      </c>
      <c r="C24" t="s">
        <v>989</v>
      </c>
      <c r="D24">
        <v>21912</v>
      </c>
      <c r="E24">
        <f t="shared" si="0"/>
        <v>5805</v>
      </c>
      <c r="F2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1168</v>
      </c>
      <c r="G2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2205.4548358451152</v>
      </c>
      <c r="H24" s="28">
        <v>5058</v>
      </c>
      <c r="I24">
        <f>SUM(VLOOKUP(UninsuredTable[[#This Row],[ZIP code]],ModifiedBaseTable!B:R,11,0),VLOOKUP(UninsuredTable[[#This Row],[ZIP code]],ModifiedBaseTable!B:R,17,0))</f>
        <v>1545</v>
      </c>
      <c r="J24" s="73">
        <f>UninsuredTable[[#This Row],[Alternate Adj Total Uninsured]]*(UninsuredTable[[#This Row],[Below 138% of FPL - No Health Insurance]]/UninsuredTable[[#This Row],[Total Uninsured Population]])</f>
        <v>586.98151961769213</v>
      </c>
      <c r="K24">
        <v>4095</v>
      </c>
      <c r="L24">
        <v>1268</v>
      </c>
      <c r="M24" s="73">
        <f>UninsuredTable[[#This Row],[Alternate Adj Total Uninsured]]*(UninsuredTable[[#This Row],[138% to 199% - No Health Insurance]]/UninsuredTable[[#This Row],[Total Uninsured Population]])</f>
        <v>481.74276173154283</v>
      </c>
      <c r="N24">
        <v>7148</v>
      </c>
      <c r="O24">
        <v>2183</v>
      </c>
      <c r="P24" s="73">
        <f>UninsuredTable[[#This Row],[Alternate Adj Total Uninsured]]*(UninsuredTable[[#This Row],[200 to 399% of FPL - No Health Insurance]]/UninsuredTable[[#This Row],[Total Uninsured Population]])</f>
        <v>829.3725937381372</v>
      </c>
      <c r="Q24">
        <v>5611</v>
      </c>
      <c r="R24">
        <v>809</v>
      </c>
      <c r="S24" s="73">
        <f>UninsuredTable[[#This Row],[Alternate Adj Total Uninsured]]*(UninsuredTable[[#This Row],[400% FPL and over - No Health Insurance]]/UninsuredTable[[#This Row],[Total Uninsured Population]])</f>
        <v>307.357960757743</v>
      </c>
    </row>
    <row r="25" spans="1:19" x14ac:dyDescent="0.3">
      <c r="A25">
        <v>20784</v>
      </c>
      <c r="B25" t="s">
        <v>988</v>
      </c>
      <c r="C25" t="s">
        <v>989</v>
      </c>
      <c r="D25">
        <v>30388</v>
      </c>
      <c r="E25">
        <f t="shared" si="0"/>
        <v>5272</v>
      </c>
      <c r="F2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1839.2</v>
      </c>
      <c r="G2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2549.0626529269339</v>
      </c>
      <c r="H25" s="28">
        <v>4459</v>
      </c>
      <c r="I25">
        <f>SUM(VLOOKUP(UninsuredTable[[#This Row],[ZIP code]],ModifiedBaseTable!B:R,11,0),VLOOKUP(UninsuredTable[[#This Row],[ZIP code]],ModifiedBaseTable!B:R,17,0))</f>
        <v>1351</v>
      </c>
      <c r="J25" s="73">
        <f>UninsuredTable[[#This Row],[Alternate Adj Total Uninsured]]*(UninsuredTable[[#This Row],[Below 138% of FPL - No Health Insurance]]/UninsuredTable[[#This Row],[Total Uninsured Population]])</f>
        <v>653.22148029292259</v>
      </c>
      <c r="K25">
        <v>4416</v>
      </c>
      <c r="L25">
        <v>936</v>
      </c>
      <c r="M25" s="73">
        <f>UninsuredTable[[#This Row],[Alternate Adj Total Uninsured]]*(UninsuredTable[[#This Row],[138% to 199% - No Health Insurance]]/UninsuredTable[[#This Row],[Total Uninsured Population]])</f>
        <v>452.56499300827204</v>
      </c>
      <c r="N25">
        <v>11385</v>
      </c>
      <c r="O25">
        <v>1793</v>
      </c>
      <c r="P25" s="73">
        <f>UninsuredTable[[#This Row],[Alternate Adj Total Uninsured]]*(UninsuredTable[[#This Row],[200 to 399% of FPL - No Health Insurance]]/UninsuredTable[[#This Row],[Total Uninsured Population]])</f>
        <v>866.93272699127317</v>
      </c>
      <c r="Q25">
        <v>10128</v>
      </c>
      <c r="R25">
        <v>1192</v>
      </c>
      <c r="S25" s="73">
        <f>UninsuredTable[[#This Row],[Alternate Adj Total Uninsured]]*(UninsuredTable[[#This Row],[400% FPL and over - No Health Insurance]]/UninsuredTable[[#This Row],[Total Uninsured Population]])</f>
        <v>576.34345263446608</v>
      </c>
    </row>
    <row r="26" spans="1:19" x14ac:dyDescent="0.3">
      <c r="A26">
        <v>20743</v>
      </c>
      <c r="B26" t="s">
        <v>1009</v>
      </c>
      <c r="C26" t="s">
        <v>989</v>
      </c>
      <c r="D26">
        <v>39863</v>
      </c>
      <c r="E26">
        <f t="shared" si="0"/>
        <v>4246</v>
      </c>
      <c r="F2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2449.6</v>
      </c>
      <c r="G2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2732.3034581451361</v>
      </c>
      <c r="H26" s="28">
        <v>7828</v>
      </c>
      <c r="I26">
        <f>SUM(VLOOKUP(UninsuredTable[[#This Row],[ZIP code]],ModifiedBaseTable!B:R,11,0),VLOOKUP(UninsuredTable[[#This Row],[ZIP code]],ModifiedBaseTable!B:R,17,0))</f>
        <v>1195</v>
      </c>
      <c r="J26" s="73">
        <f>UninsuredTable[[#This Row],[Alternate Adj Total Uninsured]]*(UninsuredTable[[#This Row],[Below 138% of FPL - No Health Insurance]]/UninsuredTable[[#This Row],[Total Uninsured Population]])</f>
        <v>768.98319182370176</v>
      </c>
      <c r="K26">
        <v>4261</v>
      </c>
      <c r="L26">
        <v>668</v>
      </c>
      <c r="M26" s="73">
        <f>UninsuredTable[[#This Row],[Alternate Adj Total Uninsured]]*(UninsuredTable[[#This Row],[138% to 199% - No Health Insurance]]/UninsuredTable[[#This Row],[Total Uninsured Population]])</f>
        <v>429.85838672655461</v>
      </c>
      <c r="N26">
        <v>13233</v>
      </c>
      <c r="O26">
        <v>1518</v>
      </c>
      <c r="P26" s="73">
        <f>UninsuredTable[[#This Row],[Alternate Adj Total Uninsured]]*(UninsuredTable[[#This Row],[200 to 399% of FPL - No Health Insurance]]/UninsuredTable[[#This Row],[Total Uninsured Population]])</f>
        <v>976.83387881872738</v>
      </c>
      <c r="Q26">
        <v>14541</v>
      </c>
      <c r="R26">
        <v>865</v>
      </c>
      <c r="S26" s="73">
        <f>UninsuredTable[[#This Row],[Alternate Adj Total Uninsured]]*(UninsuredTable[[#This Row],[400% FPL and over - No Health Insurance]]/UninsuredTable[[#This Row],[Total Uninsured Population]])</f>
        <v>556.62800077615236</v>
      </c>
    </row>
    <row r="27" spans="1:19" x14ac:dyDescent="0.3">
      <c r="A27">
        <v>20711</v>
      </c>
      <c r="B27" t="s">
        <v>1150</v>
      </c>
      <c r="C27" t="s">
        <v>996</v>
      </c>
      <c r="D27">
        <v>6921</v>
      </c>
      <c r="E27">
        <f t="shared" si="0"/>
        <v>253</v>
      </c>
      <c r="F2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253</v>
      </c>
      <c r="G2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253</v>
      </c>
      <c r="H27" s="28">
        <v>1282</v>
      </c>
      <c r="I27">
        <f>SUM(VLOOKUP(UninsuredTable[[#This Row],[ZIP code]],ModifiedBaseTable!B:R,11,0),VLOOKUP(UninsuredTable[[#This Row],[ZIP code]],ModifiedBaseTable!B:R,17,0))</f>
        <v>98</v>
      </c>
      <c r="J27" s="73">
        <f>UninsuredTable[[#This Row],[Alternate Adj Total Uninsured]]*(UninsuredTable[[#This Row],[Below 138% of FPL - No Health Insurance]]/UninsuredTable[[#This Row],[Total Uninsured Population]])</f>
        <v>98</v>
      </c>
      <c r="K27">
        <v>403</v>
      </c>
      <c r="L27">
        <v>39</v>
      </c>
      <c r="M27" s="73">
        <f>UninsuredTable[[#This Row],[Alternate Adj Total Uninsured]]*(UninsuredTable[[#This Row],[138% to 199% - No Health Insurance]]/UninsuredTable[[#This Row],[Total Uninsured Population]])</f>
        <v>39</v>
      </c>
      <c r="N27">
        <v>2372</v>
      </c>
      <c r="O27">
        <v>77</v>
      </c>
      <c r="P27" s="73">
        <f>UninsuredTable[[#This Row],[Alternate Adj Total Uninsured]]*(UninsuredTable[[#This Row],[200 to 399% of FPL - No Health Insurance]]/UninsuredTable[[#This Row],[Total Uninsured Population]])</f>
        <v>77</v>
      </c>
      <c r="Q27">
        <v>2864</v>
      </c>
      <c r="R27">
        <v>39</v>
      </c>
      <c r="S27" s="73">
        <f>UninsuredTable[[#This Row],[Alternate Adj Total Uninsured]]*(UninsuredTable[[#This Row],[400% FPL and over - No Health Insurance]]/UninsuredTable[[#This Row],[Total Uninsured Population]])</f>
        <v>39</v>
      </c>
    </row>
    <row r="28" spans="1:19" x14ac:dyDescent="0.3">
      <c r="A28">
        <v>20745</v>
      </c>
      <c r="B28" t="s">
        <v>1005</v>
      </c>
      <c r="C28" t="s">
        <v>989</v>
      </c>
      <c r="D28">
        <v>29342</v>
      </c>
      <c r="E28">
        <f t="shared" si="0"/>
        <v>4675</v>
      </c>
      <c r="F2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1824.8000000000002</v>
      </c>
      <c r="G2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2396.4149314184592</v>
      </c>
      <c r="H28" s="28">
        <v>5680</v>
      </c>
      <c r="I28">
        <f>SUM(VLOOKUP(UninsuredTable[[#This Row],[ZIP code]],ModifiedBaseTable!B:R,11,0),VLOOKUP(UninsuredTable[[#This Row],[ZIP code]],ModifiedBaseTable!B:R,17,0))</f>
        <v>1214</v>
      </c>
      <c r="J28" s="73">
        <f>UninsuredTable[[#This Row],[Alternate Adj Total Uninsured]]*(UninsuredTable[[#This Row],[Below 138% of FPL - No Health Insurance]]/UninsuredTable[[#This Row],[Total Uninsured Population]])</f>
        <v>622.29897898224806</v>
      </c>
      <c r="K28">
        <v>4090</v>
      </c>
      <c r="L28">
        <v>1064</v>
      </c>
      <c r="M28" s="73">
        <f>UninsuredTable[[#This Row],[Alternate Adj Total Uninsured]]*(UninsuredTable[[#This Row],[138% to 199% - No Health Insurance]]/UninsuredTable[[#This Row],[Total Uninsured Population]])</f>
        <v>545.40866032711028</v>
      </c>
      <c r="N28">
        <v>9571</v>
      </c>
      <c r="O28">
        <v>1752</v>
      </c>
      <c r="P28" s="73">
        <f>UninsuredTable[[#This Row],[Alternate Adj Total Uninsured]]*(UninsuredTable[[#This Row],[200 to 399% of FPL - No Health Insurance]]/UninsuredTable[[#This Row],[Total Uninsured Population]])</f>
        <v>898.07892189200868</v>
      </c>
      <c r="Q28">
        <v>10001</v>
      </c>
      <c r="R28">
        <v>645</v>
      </c>
      <c r="S28" s="73">
        <f>UninsuredTable[[#This Row],[Alternate Adj Total Uninsured]]*(UninsuredTable[[#This Row],[400% FPL and over - No Health Insurance]]/UninsuredTable[[#This Row],[Total Uninsured Population]])</f>
        <v>330.62837021709225</v>
      </c>
    </row>
    <row r="29" spans="1:19" x14ac:dyDescent="0.3">
      <c r="A29">
        <v>20785</v>
      </c>
      <c r="B29" t="s">
        <v>988</v>
      </c>
      <c r="C29" t="s">
        <v>989</v>
      </c>
      <c r="D29">
        <v>37189</v>
      </c>
      <c r="E29">
        <f t="shared" si="0"/>
        <v>4213</v>
      </c>
      <c r="F2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2070.4</v>
      </c>
      <c r="G2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2458.4009455116948</v>
      </c>
      <c r="H29" s="28">
        <v>6971</v>
      </c>
      <c r="I29">
        <f>SUM(VLOOKUP(UninsuredTable[[#This Row],[ZIP code]],ModifiedBaseTable!B:R,11,0),VLOOKUP(UninsuredTable[[#This Row],[ZIP code]],ModifiedBaseTable!B:R,17,0))</f>
        <v>1153</v>
      </c>
      <c r="J29" s="73">
        <f>UninsuredTable[[#This Row],[Alternate Adj Total Uninsured]]*(UninsuredTable[[#This Row],[Below 138% of FPL - No Health Insurance]]/UninsuredTable[[#This Row],[Total Uninsured Population]])</f>
        <v>672.80709474839398</v>
      </c>
      <c r="K29">
        <v>4924</v>
      </c>
      <c r="L29">
        <v>555</v>
      </c>
      <c r="M29" s="73">
        <f>UninsuredTable[[#This Row],[Alternate Adj Total Uninsured]]*(UninsuredTable[[#This Row],[138% to 199% - No Health Insurance]]/UninsuredTable[[#This Row],[Total Uninsured Population]])</f>
        <v>323.85770822667706</v>
      </c>
      <c r="N29">
        <v>10909</v>
      </c>
      <c r="O29">
        <v>1515</v>
      </c>
      <c r="P29" s="73">
        <f>UninsuredTable[[#This Row],[Alternate Adj Total Uninsured]]*(UninsuredTable[[#This Row],[200 to 399% of FPL - No Health Insurance]]/UninsuredTable[[#This Row],[Total Uninsured Population]])</f>
        <v>884.04401434849694</v>
      </c>
      <c r="Q29">
        <v>14385</v>
      </c>
      <c r="R29">
        <v>990</v>
      </c>
      <c r="S29" s="73">
        <f>UninsuredTable[[#This Row],[Alternate Adj Total Uninsured]]*(UninsuredTable[[#This Row],[400% FPL and over - No Health Insurance]]/UninsuredTable[[#This Row],[Total Uninsured Population]])</f>
        <v>577.69212818812673</v>
      </c>
    </row>
    <row r="30" spans="1:19" x14ac:dyDescent="0.3">
      <c r="A30">
        <v>20748</v>
      </c>
      <c r="B30" t="s">
        <v>1015</v>
      </c>
      <c r="C30" t="s">
        <v>989</v>
      </c>
      <c r="D30">
        <v>38335</v>
      </c>
      <c r="E30">
        <f t="shared" si="0"/>
        <v>3322</v>
      </c>
      <c r="F3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2210.4</v>
      </c>
      <c r="G3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2343.872325256023</v>
      </c>
      <c r="H30" s="28">
        <v>5201</v>
      </c>
      <c r="I30">
        <f>SUM(VLOOKUP(UninsuredTable[[#This Row],[ZIP code]],ModifiedBaseTable!B:R,11,0),VLOOKUP(UninsuredTable[[#This Row],[ZIP code]],ModifiedBaseTable!B:R,17,0))</f>
        <v>663</v>
      </c>
      <c r="J30" s="73">
        <f>UninsuredTable[[#This Row],[Alternate Adj Total Uninsured]]*(UninsuredTable[[#This Row],[Below 138% of FPL - No Health Insurance]]/UninsuredTable[[#This Row],[Total Uninsured Population]])</f>
        <v>467.78668020612378</v>
      </c>
      <c r="K30">
        <v>4001</v>
      </c>
      <c r="L30">
        <v>332</v>
      </c>
      <c r="M30" s="73">
        <f>UninsuredTable[[#This Row],[Alternate Adj Total Uninsured]]*(UninsuredTable[[#This Row],[138% to 199% - No Health Insurance]]/UninsuredTable[[#This Row],[Total Uninsured Population]])</f>
        <v>234.24612040487648</v>
      </c>
      <c r="N30">
        <v>11544</v>
      </c>
      <c r="O30">
        <v>983</v>
      </c>
      <c r="P30" s="73">
        <f>UninsuredTable[[#This Row],[Alternate Adj Total Uninsured]]*(UninsuredTable[[#This Row],[200 to 399% of FPL - No Health Insurance]]/UninsuredTable[[#This Row],[Total Uninsured Population]])</f>
        <v>693.56607336745049</v>
      </c>
      <c r="Q30">
        <v>17589</v>
      </c>
      <c r="R30">
        <v>1344</v>
      </c>
      <c r="S30" s="73">
        <f>UninsuredTable[[#This Row],[Alternate Adj Total Uninsured]]*(UninsuredTable[[#This Row],[400% FPL and over - No Health Insurance]]/UninsuredTable[[#This Row],[Total Uninsured Population]])</f>
        <v>948.27345127757235</v>
      </c>
    </row>
    <row r="31" spans="1:19" x14ac:dyDescent="0.3">
      <c r="A31">
        <v>20747</v>
      </c>
      <c r="B31" t="s">
        <v>1012</v>
      </c>
      <c r="C31" t="s">
        <v>989</v>
      </c>
      <c r="D31">
        <v>38159</v>
      </c>
      <c r="E31">
        <f t="shared" si="0"/>
        <v>3220</v>
      </c>
      <c r="F3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1973.6000000000001</v>
      </c>
      <c r="G3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2153.3936689048037</v>
      </c>
      <c r="H31" s="28">
        <v>5767</v>
      </c>
      <c r="I31">
        <f>SUM(VLOOKUP(UninsuredTable[[#This Row],[ZIP code]],ModifiedBaseTable!B:R,11,0),VLOOKUP(UninsuredTable[[#This Row],[ZIP code]],ModifiedBaseTable!B:R,17,0))</f>
        <v>673</v>
      </c>
      <c r="J31" s="73">
        <f>UninsuredTable[[#This Row],[Alternate Adj Total Uninsured]]*(UninsuredTable[[#This Row],[Below 138% of FPL - No Health Insurance]]/UninsuredTable[[#This Row],[Total Uninsured Population]])</f>
        <v>450.07265191705989</v>
      </c>
      <c r="K31">
        <v>4417</v>
      </c>
      <c r="L31">
        <v>389</v>
      </c>
      <c r="M31" s="73">
        <f>UninsuredTable[[#This Row],[Alternate Adj Total Uninsured]]*(UninsuredTable[[#This Row],[138% to 199% - No Health Insurance]]/UninsuredTable[[#This Row],[Total Uninsured Population]])</f>
        <v>260.14600534284739</v>
      </c>
      <c r="N31">
        <v>13171</v>
      </c>
      <c r="O31">
        <v>1207</v>
      </c>
      <c r="P31" s="73">
        <f>UninsuredTable[[#This Row],[Alternate Adj Total Uninsured]]*(UninsuredTable[[#This Row],[200 to 399% of FPL - No Health Insurance]]/UninsuredTable[[#This Row],[Total Uninsured Population]])</f>
        <v>807.18824794040313</v>
      </c>
      <c r="Q31">
        <v>14804</v>
      </c>
      <c r="R31">
        <v>951</v>
      </c>
      <c r="S31" s="73">
        <f>UninsuredTable[[#This Row],[Alternate Adj Total Uninsured]]*(UninsuredTable[[#This Row],[400% FPL and over - No Health Insurance]]/UninsuredTable[[#This Row],[Total Uninsured Population]])</f>
        <v>635.98676370449323</v>
      </c>
    </row>
    <row r="32" spans="1:19" x14ac:dyDescent="0.3">
      <c r="A32">
        <v>20705</v>
      </c>
      <c r="B32" t="s">
        <v>1026</v>
      </c>
      <c r="C32" t="s">
        <v>989</v>
      </c>
      <c r="D32">
        <v>27642</v>
      </c>
      <c r="E32">
        <f t="shared" si="0"/>
        <v>3251</v>
      </c>
      <c r="F3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1412</v>
      </c>
      <c r="G3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1766.8119415571557</v>
      </c>
      <c r="H32" s="28">
        <v>3585</v>
      </c>
      <c r="I32">
        <f>SUM(VLOOKUP(UninsuredTable[[#This Row],[ZIP code]],ModifiedBaseTable!B:R,11,0),VLOOKUP(UninsuredTable[[#This Row],[ZIP code]],ModifiedBaseTable!B:R,17,0))</f>
        <v>659</v>
      </c>
      <c r="J32" s="73">
        <f>UninsuredTable[[#This Row],[Alternate Adj Total Uninsured]]*(UninsuredTable[[#This Row],[Below 138% of FPL - No Health Insurance]]/UninsuredTable[[#This Row],[Total Uninsured Population]])</f>
        <v>358.14489987270548</v>
      </c>
      <c r="K32">
        <v>1792</v>
      </c>
      <c r="L32">
        <v>228</v>
      </c>
      <c r="M32" s="73">
        <f>UninsuredTable[[#This Row],[Alternate Adj Total Uninsured]]*(UninsuredTable[[#This Row],[138% to 199% - No Health Insurance]]/UninsuredTable[[#This Row],[Total Uninsured Population]])</f>
        <v>123.91052681483589</v>
      </c>
      <c r="N32">
        <v>8852</v>
      </c>
      <c r="O32">
        <v>1390</v>
      </c>
      <c r="P32" s="73">
        <f>UninsuredTable[[#This Row],[Alternate Adj Total Uninsured]]*(UninsuredTable[[#This Row],[200 to 399% of FPL - No Health Insurance]]/UninsuredTable[[#This Row],[Total Uninsured Population]])</f>
        <v>755.41943979220127</v>
      </c>
      <c r="Q32">
        <v>13413</v>
      </c>
      <c r="R32">
        <v>974</v>
      </c>
      <c r="S32" s="73">
        <f>UninsuredTable[[#This Row],[Alternate Adj Total Uninsured]]*(UninsuredTable[[#This Row],[400% FPL and over - No Health Insurance]]/UninsuredTable[[#This Row],[Total Uninsured Population]])</f>
        <v>529.33707507741303</v>
      </c>
    </row>
    <row r="33" spans="1:19" x14ac:dyDescent="0.3">
      <c r="A33">
        <v>20770</v>
      </c>
      <c r="B33" t="s">
        <v>1024</v>
      </c>
      <c r="C33" t="s">
        <v>989</v>
      </c>
      <c r="D33">
        <v>26117</v>
      </c>
      <c r="E33">
        <f t="shared" si="0"/>
        <v>3329</v>
      </c>
      <c r="F3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1220</v>
      </c>
      <c r="G3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1650.7407419711362</v>
      </c>
      <c r="H33" s="28">
        <v>3608</v>
      </c>
      <c r="I33">
        <f>SUM(VLOOKUP(UninsuredTable[[#This Row],[ZIP code]],ModifiedBaseTable!B:R,11,0),VLOOKUP(UninsuredTable[[#This Row],[ZIP code]],ModifiedBaseTable!B:R,17,0))</f>
        <v>705</v>
      </c>
      <c r="J33" s="73">
        <f>UninsuredTable[[#This Row],[Alternate Adj Total Uninsured]]*(UninsuredTable[[#This Row],[Below 138% of FPL - No Health Insurance]]/UninsuredTable[[#This Row],[Total Uninsured Population]])</f>
        <v>349.58612889445811</v>
      </c>
      <c r="K33">
        <v>3084</v>
      </c>
      <c r="L33">
        <v>674</v>
      </c>
      <c r="M33" s="73">
        <f>UninsuredTable[[#This Row],[Alternate Adj Total Uninsured]]*(UninsuredTable[[#This Row],[138% to 199% - No Health Insurance]]/UninsuredTable[[#This Row],[Total Uninsured Population]])</f>
        <v>334.21425656009188</v>
      </c>
      <c r="N33">
        <v>8107</v>
      </c>
      <c r="O33">
        <v>1211</v>
      </c>
      <c r="P33" s="73">
        <f>UninsuredTable[[#This Row],[Alternate Adj Total Uninsured]]*(UninsuredTable[[#This Row],[200 to 399% of FPL - No Health Insurance]]/UninsuredTable[[#This Row],[Total Uninsured Population]])</f>
        <v>600.49475473927487</v>
      </c>
      <c r="Q33">
        <v>11318</v>
      </c>
      <c r="R33">
        <v>739</v>
      </c>
      <c r="S33" s="73">
        <f>UninsuredTable[[#This Row],[Alternate Adj Total Uninsured]]*(UninsuredTable[[#This Row],[400% FPL and over - No Health Insurance]]/UninsuredTable[[#This Row],[Total Uninsured Population]])</f>
        <v>366.44560177731142</v>
      </c>
    </row>
    <row r="34" spans="1:19" x14ac:dyDescent="0.3">
      <c r="A34">
        <v>20723</v>
      </c>
      <c r="B34" t="s">
        <v>1023</v>
      </c>
      <c r="C34" t="s">
        <v>1038</v>
      </c>
      <c r="D34">
        <v>34110</v>
      </c>
      <c r="E34">
        <f t="shared" si="0"/>
        <v>2911</v>
      </c>
      <c r="F3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1571.2</v>
      </c>
      <c r="G3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1797.3150125535847</v>
      </c>
      <c r="H34" s="28">
        <v>3036</v>
      </c>
      <c r="I34">
        <f>SUM(VLOOKUP(UninsuredTable[[#This Row],[ZIP code]],ModifiedBaseTable!B:R,11,0),VLOOKUP(UninsuredTable[[#This Row],[ZIP code]],ModifiedBaseTable!B:R,17,0))</f>
        <v>532</v>
      </c>
      <c r="J34" s="73">
        <f>UninsuredTable[[#This Row],[Alternate Adj Total Uninsured]]*(UninsuredTable[[#This Row],[Below 138% of FPL - No Health Insurance]]/UninsuredTable[[#This Row],[Total Uninsured Population]])</f>
        <v>328.46842551649161</v>
      </c>
      <c r="K34">
        <v>1846</v>
      </c>
      <c r="L34">
        <v>371</v>
      </c>
      <c r="M34" s="73">
        <f>UninsuredTable[[#This Row],[Alternate Adj Total Uninsured]]*(UninsuredTable[[#This Row],[138% to 199% - No Health Insurance]]/UninsuredTable[[#This Row],[Total Uninsured Population]])</f>
        <v>229.06350726807969</v>
      </c>
      <c r="N34">
        <v>7956</v>
      </c>
      <c r="O34">
        <v>728</v>
      </c>
      <c r="P34" s="73">
        <f>UninsuredTable[[#This Row],[Alternate Adj Total Uninsured]]*(UninsuredTable[[#This Row],[200 to 399% of FPL - No Health Insurance]]/UninsuredTable[[#This Row],[Total Uninsured Population]])</f>
        <v>449.48310860151486</v>
      </c>
      <c r="Q34">
        <v>21272</v>
      </c>
      <c r="R34">
        <v>1280</v>
      </c>
      <c r="S34" s="73">
        <f>UninsuredTable[[#This Row],[Alternate Adj Total Uninsured]]*(UninsuredTable[[#This Row],[400% FPL and over - No Health Insurance]]/UninsuredTable[[#This Row],[Total Uninsured Population]])</f>
        <v>790.2999711674986</v>
      </c>
    </row>
    <row r="35" spans="1:19" x14ac:dyDescent="0.3">
      <c r="A35">
        <v>20724</v>
      </c>
      <c r="B35" t="s">
        <v>1023</v>
      </c>
      <c r="C35" t="s">
        <v>996</v>
      </c>
      <c r="D35">
        <v>17473</v>
      </c>
      <c r="E35">
        <f t="shared" si="0"/>
        <v>1374</v>
      </c>
      <c r="F3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573.6</v>
      </c>
      <c r="G3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730.47176689303581</v>
      </c>
      <c r="H35" s="28">
        <v>1390</v>
      </c>
      <c r="I35">
        <f>SUM(VLOOKUP(UninsuredTable[[#This Row],[ZIP code]],ModifiedBaseTable!B:R,11,0),VLOOKUP(UninsuredTable[[#This Row],[ZIP code]],ModifiedBaseTable!B:R,17,0))</f>
        <v>378</v>
      </c>
      <c r="J35" s="73">
        <f>UninsuredTable[[#This Row],[Alternate Adj Total Uninsured]]*(UninsuredTable[[#This Row],[Below 138% of FPL - No Health Insurance]]/UninsuredTable[[#This Row],[Total Uninsured Population]])</f>
        <v>200.95948172166484</v>
      </c>
      <c r="K35">
        <v>630</v>
      </c>
      <c r="L35">
        <v>47</v>
      </c>
      <c r="M35" s="73">
        <f>UninsuredTable[[#This Row],[Alternate Adj Total Uninsured]]*(UninsuredTable[[#This Row],[138% to 199% - No Health Insurance]]/UninsuredTable[[#This Row],[Total Uninsured Population]])</f>
        <v>24.987025505074733</v>
      </c>
      <c r="N35">
        <v>5034</v>
      </c>
      <c r="O35">
        <v>237</v>
      </c>
      <c r="P35" s="73">
        <f>UninsuredTable[[#This Row],[Alternate Adj Total Uninsured]]*(UninsuredTable[[#This Row],[200 to 399% of FPL - No Health Insurance]]/UninsuredTable[[#This Row],[Total Uninsured Population]])</f>
        <v>125.99840520644068</v>
      </c>
      <c r="Q35">
        <v>10419</v>
      </c>
      <c r="R35">
        <v>712</v>
      </c>
      <c r="S35" s="73">
        <f>UninsuredTable[[#This Row],[Alternate Adj Total Uninsured]]*(UninsuredTable[[#This Row],[400% FPL and over - No Health Insurance]]/UninsuredTable[[#This Row],[Total Uninsured Population]])</f>
        <v>378.52685445985549</v>
      </c>
    </row>
    <row r="36" spans="1:19" x14ac:dyDescent="0.3">
      <c r="A36">
        <v>20732</v>
      </c>
      <c r="B36" t="s">
        <v>1132</v>
      </c>
      <c r="C36" t="s">
        <v>1055</v>
      </c>
      <c r="D36">
        <v>9815</v>
      </c>
      <c r="E36">
        <f t="shared" si="0"/>
        <v>489</v>
      </c>
      <c r="F3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489</v>
      </c>
      <c r="G3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489</v>
      </c>
      <c r="H36" s="28">
        <v>999</v>
      </c>
      <c r="I36">
        <f>SUM(VLOOKUP(UninsuredTable[[#This Row],[ZIP code]],ModifiedBaseTable!B:R,11,0),VLOOKUP(UninsuredTable[[#This Row],[ZIP code]],ModifiedBaseTable!B:R,17,0))</f>
        <v>237</v>
      </c>
      <c r="J36" s="73">
        <f>UninsuredTable[[#This Row],[Alternate Adj Total Uninsured]]*(UninsuredTable[[#This Row],[Below 138% of FPL - No Health Insurance]]/UninsuredTable[[#This Row],[Total Uninsured Population]])</f>
        <v>237</v>
      </c>
      <c r="K36">
        <v>353</v>
      </c>
      <c r="L36">
        <v>40</v>
      </c>
      <c r="M36" s="73">
        <f>UninsuredTable[[#This Row],[Alternate Adj Total Uninsured]]*(UninsuredTable[[#This Row],[138% to 199% - No Health Insurance]]/UninsuredTable[[#This Row],[Total Uninsured Population]])</f>
        <v>40</v>
      </c>
      <c r="N36">
        <v>2177</v>
      </c>
      <c r="O36">
        <v>119</v>
      </c>
      <c r="P36" s="73">
        <f>UninsuredTable[[#This Row],[Alternate Adj Total Uninsured]]*(UninsuredTable[[#This Row],[200 to 399% of FPL - No Health Insurance]]/UninsuredTable[[#This Row],[Total Uninsured Population]])</f>
        <v>119</v>
      </c>
      <c r="Q36">
        <v>6286</v>
      </c>
      <c r="R36">
        <v>93</v>
      </c>
      <c r="S36" s="73">
        <f>UninsuredTable[[#This Row],[Alternate Adj Total Uninsured]]*(UninsuredTable[[#This Row],[400% FPL and over - No Health Insurance]]/UninsuredTable[[#This Row],[Total Uninsured Population]])</f>
        <v>93</v>
      </c>
    </row>
    <row r="37" spans="1:19" x14ac:dyDescent="0.3">
      <c r="A37">
        <v>20774</v>
      </c>
      <c r="B37" t="s">
        <v>1019</v>
      </c>
      <c r="C37" t="s">
        <v>989</v>
      </c>
      <c r="D37">
        <v>45752</v>
      </c>
      <c r="E37">
        <f t="shared" si="0"/>
        <v>2894</v>
      </c>
      <c r="F3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1738.4</v>
      </c>
      <c r="G3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1910.5530349008809</v>
      </c>
      <c r="H37" s="28">
        <v>3553</v>
      </c>
      <c r="I37">
        <f>SUM(VLOOKUP(UninsuredTable[[#This Row],[ZIP code]],ModifiedBaseTable!B:R,11,0),VLOOKUP(UninsuredTable[[#This Row],[ZIP code]],ModifiedBaseTable!B:R,17,0))</f>
        <v>534</v>
      </c>
      <c r="J37" s="73">
        <f>UninsuredTable[[#This Row],[Alternate Adj Total Uninsured]]*(UninsuredTable[[#This Row],[Below 138% of FPL - No Health Insurance]]/UninsuredTable[[#This Row],[Total Uninsured Population]])</f>
        <v>352.53466504390821</v>
      </c>
      <c r="K37">
        <v>2214</v>
      </c>
      <c r="L37">
        <v>167</v>
      </c>
      <c r="M37" s="73">
        <f>UninsuredTable[[#This Row],[Alternate Adj Total Uninsured]]*(UninsuredTable[[#This Row],[138% to 199% - No Health Insurance]]/UninsuredTable[[#This Row],[Total Uninsured Population]])</f>
        <v>110.24960498564171</v>
      </c>
      <c r="N37">
        <v>10473</v>
      </c>
      <c r="O37">
        <v>1015</v>
      </c>
      <c r="P37" s="73">
        <f>UninsuredTable[[#This Row],[Alternate Adj Total Uninsured]]*(UninsuredTable[[#This Row],[200 to 399% of FPL - No Health Insurance]]/UninsuredTable[[#This Row],[Total Uninsured Population]])</f>
        <v>670.07993449357093</v>
      </c>
      <c r="Q37">
        <v>29512</v>
      </c>
      <c r="R37">
        <v>1178</v>
      </c>
      <c r="S37" s="73">
        <f>UninsuredTable[[#This Row],[Alternate Adj Total Uninsured]]*(UninsuredTable[[#This Row],[400% FPL and over - No Health Insurance]]/UninsuredTable[[#This Row],[Total Uninsured Population]])</f>
        <v>777.68883037776015</v>
      </c>
    </row>
    <row r="38" spans="1:19" x14ac:dyDescent="0.3">
      <c r="A38">
        <v>20707</v>
      </c>
      <c r="B38" t="s">
        <v>1023</v>
      </c>
      <c r="C38" t="s">
        <v>989</v>
      </c>
      <c r="D38">
        <v>32413</v>
      </c>
      <c r="E38">
        <f t="shared" si="0"/>
        <v>3087</v>
      </c>
      <c r="F3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1235.2</v>
      </c>
      <c r="G3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1603.6218208766429</v>
      </c>
      <c r="H38" s="28">
        <v>3427</v>
      </c>
      <c r="I38">
        <f>SUM(VLOOKUP(UninsuredTable[[#This Row],[ZIP code]],ModifiedBaseTable!B:R,11,0),VLOOKUP(UninsuredTable[[#This Row],[ZIP code]],ModifiedBaseTable!B:R,17,0))</f>
        <v>571</v>
      </c>
      <c r="J38" s="73">
        <f>UninsuredTable[[#This Row],[Alternate Adj Total Uninsured]]*(UninsuredTable[[#This Row],[Below 138% of FPL - No Health Insurance]]/UninsuredTable[[#This Row],[Total Uninsured Population]])</f>
        <v>296.62068666037027</v>
      </c>
      <c r="K38">
        <v>3096</v>
      </c>
      <c r="L38">
        <v>499</v>
      </c>
      <c r="M38" s="73">
        <f>UninsuredTable[[#This Row],[Alternate Adj Total Uninsured]]*(UninsuredTable[[#This Row],[138% to 199% - No Health Insurance]]/UninsuredTable[[#This Row],[Total Uninsured Population]])</f>
        <v>259.21842844750398</v>
      </c>
      <c r="N38">
        <v>9107</v>
      </c>
      <c r="O38">
        <v>1406</v>
      </c>
      <c r="P38" s="73">
        <f>UninsuredTable[[#This Row],[Alternate Adj Total Uninsured]]*(UninsuredTable[[#This Row],[200 to 399% of FPL - No Health Insurance]]/UninsuredTable[[#This Row],[Total Uninsured Population]])</f>
        <v>730.38298676791703</v>
      </c>
      <c r="Q38">
        <v>16783</v>
      </c>
      <c r="R38">
        <v>611</v>
      </c>
      <c r="S38" s="73">
        <f>UninsuredTable[[#This Row],[Alternate Adj Total Uninsured]]*(UninsuredTable[[#This Row],[400% FPL and over - No Health Insurance]]/UninsuredTable[[#This Row],[Total Uninsured Population]])</f>
        <v>317.39971900085158</v>
      </c>
    </row>
    <row r="39" spans="1:19" x14ac:dyDescent="0.3">
      <c r="A39">
        <v>20746</v>
      </c>
      <c r="B39" t="s">
        <v>1029</v>
      </c>
      <c r="C39" t="s">
        <v>989</v>
      </c>
      <c r="D39">
        <v>27793</v>
      </c>
      <c r="E39">
        <f t="shared" si="0"/>
        <v>2731</v>
      </c>
      <c r="F3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1532.8000000000002</v>
      </c>
      <c r="G3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1727.3973972874037</v>
      </c>
      <c r="H39" s="28">
        <v>3859</v>
      </c>
      <c r="I39">
        <f>SUM(VLOOKUP(UninsuredTable[[#This Row],[ZIP code]],ModifiedBaseTable!B:R,11,0),VLOOKUP(UninsuredTable[[#This Row],[ZIP code]],ModifiedBaseTable!B:R,17,0))</f>
        <v>459</v>
      </c>
      <c r="J39" s="73">
        <f>UninsuredTable[[#This Row],[Alternate Adj Total Uninsured]]*(UninsuredTable[[#This Row],[Below 138% of FPL - No Health Insurance]]/UninsuredTable[[#This Row],[Total Uninsured Population]])</f>
        <v>290.32420554921941</v>
      </c>
      <c r="K39">
        <v>4052</v>
      </c>
      <c r="L39">
        <v>486</v>
      </c>
      <c r="M39" s="73">
        <f>UninsuredTable[[#This Row],[Alternate Adj Total Uninsured]]*(UninsuredTable[[#This Row],[138% to 199% - No Health Insurance]]/UninsuredTable[[#This Row],[Total Uninsured Population]])</f>
        <v>307.40209999329113</v>
      </c>
      <c r="N39">
        <v>8206</v>
      </c>
      <c r="O39">
        <v>1133</v>
      </c>
      <c r="P39" s="73">
        <f>UninsuredTable[[#This Row],[Alternate Adj Total Uninsured]]*(UninsuredTable[[#This Row],[200 to 399% of FPL - No Health Insurance]]/UninsuredTable[[#This Row],[Total Uninsured Population]])</f>
        <v>716.63905204197306</v>
      </c>
      <c r="Q39">
        <v>11676</v>
      </c>
      <c r="R39">
        <v>653</v>
      </c>
      <c r="S39" s="73">
        <f>UninsuredTable[[#This Row],[Alternate Adj Total Uninsured]]*(UninsuredTable[[#This Row],[400% FPL and over - No Health Insurance]]/UninsuredTable[[#This Row],[Total Uninsured Population]])</f>
        <v>413.03203970292003</v>
      </c>
    </row>
    <row r="40" spans="1:19" x14ac:dyDescent="0.3">
      <c r="A40">
        <v>20708</v>
      </c>
      <c r="B40" t="s">
        <v>1023</v>
      </c>
      <c r="C40" t="s">
        <v>989</v>
      </c>
      <c r="D40">
        <v>25634</v>
      </c>
      <c r="E40">
        <f t="shared" si="0"/>
        <v>2900</v>
      </c>
      <c r="F4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1270.4000000000001</v>
      </c>
      <c r="G4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1583.6659941608266</v>
      </c>
      <c r="H40" s="28">
        <v>3358</v>
      </c>
      <c r="I40">
        <f>SUM(VLOOKUP(UninsuredTable[[#This Row],[ZIP code]],ModifiedBaseTable!B:R,11,0),VLOOKUP(UninsuredTable[[#This Row],[ZIP code]],ModifiedBaseTable!B:R,17,0))</f>
        <v>938</v>
      </c>
      <c r="J40" s="73">
        <f>UninsuredTable[[#This Row],[Alternate Adj Total Uninsured]]*(UninsuredTable[[#This Row],[Below 138% of FPL - No Health Insurance]]/UninsuredTable[[#This Row],[Total Uninsured Population]])</f>
        <v>512.2340353527087</v>
      </c>
      <c r="K40">
        <v>2511</v>
      </c>
      <c r="L40">
        <v>401</v>
      </c>
      <c r="M40" s="73">
        <f>UninsuredTable[[#This Row],[Alternate Adj Total Uninsured]]*(UninsuredTable[[#This Row],[138% to 199% - No Health Insurance]]/UninsuredTable[[#This Row],[Total Uninsured Population]])</f>
        <v>218.98278057189361</v>
      </c>
      <c r="N40">
        <v>7923</v>
      </c>
      <c r="O40">
        <v>1101</v>
      </c>
      <c r="P40" s="73">
        <f>UninsuredTable[[#This Row],[Alternate Adj Total Uninsured]]*(UninsuredTable[[#This Row],[200 to 399% of FPL - No Health Insurance]]/UninsuredTable[[#This Row],[Total Uninsured Population]])</f>
        <v>601.24698605898971</v>
      </c>
      <c r="Q40">
        <v>11842</v>
      </c>
      <c r="R40">
        <v>460</v>
      </c>
      <c r="S40" s="73">
        <f>UninsuredTable[[#This Row],[Alternate Adj Total Uninsured]]*(UninsuredTable[[#This Row],[400% FPL and over - No Health Insurance]]/UninsuredTable[[#This Row],[Total Uninsured Population]])</f>
        <v>251.20219217723459</v>
      </c>
    </row>
    <row r="41" spans="1:19" x14ac:dyDescent="0.3">
      <c r="A41">
        <v>20740</v>
      </c>
      <c r="B41" t="s">
        <v>1034</v>
      </c>
      <c r="C41" t="s">
        <v>989</v>
      </c>
      <c r="D41">
        <v>27326</v>
      </c>
      <c r="E41">
        <f t="shared" si="0"/>
        <v>2864</v>
      </c>
      <c r="F4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1136.8</v>
      </c>
      <c r="G4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1481.3448396143847</v>
      </c>
      <c r="H41" s="28">
        <v>7670</v>
      </c>
      <c r="I41">
        <f>SUM(VLOOKUP(UninsuredTable[[#This Row],[ZIP code]],ModifiedBaseTable!B:R,11,0),VLOOKUP(UninsuredTable[[#This Row],[ZIP code]],ModifiedBaseTable!B:R,17,0))</f>
        <v>961</v>
      </c>
      <c r="J41" s="73">
        <f>UninsuredTable[[#This Row],[Alternate Adj Total Uninsured]]*(UninsuredTable[[#This Row],[Below 138% of FPL - No Health Insurance]]/UninsuredTable[[#This Row],[Total Uninsured Population]])</f>
        <v>497.05739904658645</v>
      </c>
      <c r="K41">
        <v>2507</v>
      </c>
      <c r="L41">
        <v>494</v>
      </c>
      <c r="M41" s="73">
        <f>UninsuredTable[[#This Row],[Alternate Adj Total Uninsured]]*(UninsuredTable[[#This Row],[138% to 199% - No Health Insurance]]/UninsuredTable[[#This Row],[Total Uninsured Population]])</f>
        <v>255.51129565974372</v>
      </c>
      <c r="N41">
        <v>6886</v>
      </c>
      <c r="O41">
        <v>1047</v>
      </c>
      <c r="P41" s="73">
        <f>UninsuredTable[[#This Row],[Alternate Adj Total Uninsured]]*(UninsuredTable[[#This Row],[200 to 399% of FPL - No Health Insurance]]/UninsuredTable[[#This Row],[Total Uninsured Population]])</f>
        <v>541.53912258249329</v>
      </c>
      <c r="Q41">
        <v>10263</v>
      </c>
      <c r="R41">
        <v>362</v>
      </c>
      <c r="S41" s="73">
        <f>UninsuredTable[[#This Row],[Alternate Adj Total Uninsured]]*(UninsuredTable[[#This Row],[400% FPL and over - No Health Insurance]]/UninsuredTable[[#This Row],[Total Uninsured Population]])</f>
        <v>187.23702232556121</v>
      </c>
    </row>
    <row r="42" spans="1:19" x14ac:dyDescent="0.3">
      <c r="A42">
        <v>20772</v>
      </c>
      <c r="B42" t="s">
        <v>1019</v>
      </c>
      <c r="C42" t="s">
        <v>989</v>
      </c>
      <c r="D42">
        <v>44217</v>
      </c>
      <c r="E42">
        <f t="shared" si="0"/>
        <v>2420</v>
      </c>
      <c r="F4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1580</v>
      </c>
      <c r="G4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1686.2525666170486</v>
      </c>
      <c r="H42" s="28">
        <v>3778</v>
      </c>
      <c r="I42">
        <f>SUM(VLOOKUP(UninsuredTable[[#This Row],[ZIP code]],ModifiedBaseTable!B:R,11,0),VLOOKUP(UninsuredTable[[#This Row],[ZIP code]],ModifiedBaseTable!B:R,17,0))</f>
        <v>496</v>
      </c>
      <c r="J42" s="73">
        <f>UninsuredTable[[#This Row],[Alternate Adj Total Uninsured]]*(UninsuredTable[[#This Row],[Below 138% of FPL - No Health Insurance]]/UninsuredTable[[#This Row],[Total Uninsured Population]])</f>
        <v>345.61209629837032</v>
      </c>
      <c r="K42">
        <v>2074</v>
      </c>
      <c r="L42">
        <v>128</v>
      </c>
      <c r="M42" s="73">
        <f>UninsuredTable[[#This Row],[Alternate Adj Total Uninsured]]*(UninsuredTable[[#This Row],[138% to 199% - No Health Insurance]]/UninsuredTable[[#This Row],[Total Uninsured Population]])</f>
        <v>89.190218399579422</v>
      </c>
      <c r="N42">
        <v>9628</v>
      </c>
      <c r="O42">
        <v>864</v>
      </c>
      <c r="P42" s="73">
        <f>UninsuredTable[[#This Row],[Alternate Adj Total Uninsured]]*(UninsuredTable[[#This Row],[200 to 399% of FPL - No Health Insurance]]/UninsuredTable[[#This Row],[Total Uninsured Population]])</f>
        <v>602.03397419716111</v>
      </c>
      <c r="Q42">
        <v>28737</v>
      </c>
      <c r="R42">
        <v>932</v>
      </c>
      <c r="S42" s="73">
        <f>UninsuredTable[[#This Row],[Alternate Adj Total Uninsured]]*(UninsuredTable[[#This Row],[400% FPL and over - No Health Insurance]]/UninsuredTable[[#This Row],[Total Uninsured Population]])</f>
        <v>649.41627772193783</v>
      </c>
    </row>
    <row r="43" spans="1:19" x14ac:dyDescent="0.3">
      <c r="A43">
        <v>20735</v>
      </c>
      <c r="B43" t="s">
        <v>1036</v>
      </c>
      <c r="C43" t="s">
        <v>989</v>
      </c>
      <c r="D43">
        <v>37578</v>
      </c>
      <c r="E43">
        <f t="shared" si="0"/>
        <v>2317</v>
      </c>
      <c r="F4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1637.6000000000001</v>
      </c>
      <c r="G4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1702.0678494080971</v>
      </c>
      <c r="H43" s="28">
        <v>2810</v>
      </c>
      <c r="I43">
        <f>SUM(VLOOKUP(UninsuredTable[[#This Row],[ZIP code]],ModifiedBaseTable!B:R,11,0),VLOOKUP(UninsuredTable[[#This Row],[ZIP code]],ModifiedBaseTable!B:R,17,0))</f>
        <v>607</v>
      </c>
      <c r="J43" s="73">
        <f>UninsuredTable[[#This Row],[Alternate Adj Total Uninsured]]*(UninsuredTable[[#This Row],[Below 138% of FPL - No Health Insurance]]/UninsuredTable[[#This Row],[Total Uninsured Population]])</f>
        <v>445.9021081530924</v>
      </c>
      <c r="K43">
        <v>1405</v>
      </c>
      <c r="L43">
        <v>106</v>
      </c>
      <c r="M43" s="73">
        <f>UninsuredTable[[#This Row],[Alternate Adj Total Uninsured]]*(UninsuredTable[[#This Row],[138% to 199% - No Health Insurance]]/UninsuredTable[[#This Row],[Total Uninsured Population]])</f>
        <v>77.867583960836555</v>
      </c>
      <c r="N43">
        <v>8620</v>
      </c>
      <c r="O43">
        <v>603</v>
      </c>
      <c r="P43" s="73">
        <f>UninsuredTable[[#This Row],[Alternate Adj Total Uninsured]]*(UninsuredTable[[#This Row],[200 to 399% of FPL - No Health Insurance]]/UninsuredTable[[#This Row],[Total Uninsured Population]])</f>
        <v>442.96370875834378</v>
      </c>
      <c r="Q43">
        <v>24743</v>
      </c>
      <c r="R43">
        <v>1001</v>
      </c>
      <c r="S43" s="73">
        <f>UninsuredTable[[#This Row],[Alternate Adj Total Uninsured]]*(UninsuredTable[[#This Row],[400% FPL and over - No Health Insurance]]/UninsuredTable[[#This Row],[Total Uninsured Population]])</f>
        <v>735.33444853582444</v>
      </c>
    </row>
    <row r="44" spans="1:19" x14ac:dyDescent="0.3">
      <c r="A44">
        <v>20781</v>
      </c>
      <c r="B44" t="s">
        <v>988</v>
      </c>
      <c r="C44" t="s">
        <v>989</v>
      </c>
      <c r="D44">
        <v>11333</v>
      </c>
      <c r="E44">
        <f t="shared" si="0"/>
        <v>2151</v>
      </c>
      <c r="F4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484</v>
      </c>
      <c r="G4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853.13813031451048</v>
      </c>
      <c r="H44" s="28">
        <v>1645</v>
      </c>
      <c r="I44">
        <f>SUM(VLOOKUP(UninsuredTable[[#This Row],[ZIP code]],ModifiedBaseTable!B:R,11,0),VLOOKUP(UninsuredTable[[#This Row],[ZIP code]],ModifiedBaseTable!B:R,17,0))</f>
        <v>381</v>
      </c>
      <c r="J44" s="73">
        <f>UninsuredTable[[#This Row],[Alternate Adj Total Uninsured]]*(UninsuredTable[[#This Row],[Below 138% of FPL - No Health Insurance]]/UninsuredTable[[#This Row],[Total Uninsured Population]])</f>
        <v>151.11372740577801</v>
      </c>
      <c r="K44">
        <v>1630</v>
      </c>
      <c r="L44">
        <v>497</v>
      </c>
      <c r="M44" s="73">
        <f>UninsuredTable[[#This Row],[Alternate Adj Total Uninsured]]*(UninsuredTable[[#This Row],[138% to 199% - No Health Insurance]]/UninsuredTable[[#This Row],[Total Uninsured Population]])</f>
        <v>197.12210635346895</v>
      </c>
      <c r="N44">
        <v>4255</v>
      </c>
      <c r="O44">
        <v>1129</v>
      </c>
      <c r="P44" s="73">
        <f>UninsuredTable[[#This Row],[Alternate Adj Total Uninsured]]*(UninsuredTable[[#This Row],[200 to 399% of FPL - No Health Insurance]]/UninsuredTable[[#This Row],[Total Uninsured Population]])</f>
        <v>447.78844682709541</v>
      </c>
      <c r="Q44">
        <v>3803</v>
      </c>
      <c r="R44">
        <v>144</v>
      </c>
      <c r="S44" s="73">
        <f>UninsuredTable[[#This Row],[Alternate Adj Total Uninsured]]*(UninsuredTable[[#This Row],[400% FPL and over - No Health Insurance]]/UninsuredTable[[#This Row],[Total Uninsured Population]])</f>
        <v>57.113849728168063</v>
      </c>
    </row>
    <row r="45" spans="1:19" x14ac:dyDescent="0.3">
      <c r="A45">
        <v>20710</v>
      </c>
      <c r="B45" t="s">
        <v>1059</v>
      </c>
      <c r="C45" t="s">
        <v>989</v>
      </c>
      <c r="D45">
        <v>9732</v>
      </c>
      <c r="E45">
        <f t="shared" si="0"/>
        <v>1736</v>
      </c>
      <c r="F4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507.20000000000005</v>
      </c>
      <c r="G4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770.32433351008444</v>
      </c>
      <c r="H45" s="28">
        <v>2603</v>
      </c>
      <c r="I45">
        <f>SUM(VLOOKUP(UninsuredTable[[#This Row],[ZIP code]],ModifiedBaseTable!B:R,11,0),VLOOKUP(UninsuredTable[[#This Row],[ZIP code]],ModifiedBaseTable!B:R,17,0))</f>
        <v>469</v>
      </c>
      <c r="J45" s="73">
        <f>UninsuredTable[[#This Row],[Alternate Adj Total Uninsured]]*(UninsuredTable[[#This Row],[Below 138% of FPL - No Health Insurance]]/UninsuredTable[[#This Row],[Total Uninsured Population]])</f>
        <v>208.11181590796636</v>
      </c>
      <c r="K45">
        <v>1714</v>
      </c>
      <c r="L45">
        <v>516</v>
      </c>
      <c r="M45" s="73">
        <f>UninsuredTable[[#This Row],[Alternate Adj Total Uninsured]]*(UninsuredTable[[#This Row],[138% to 199% - No Health Insurance]]/UninsuredTable[[#This Row],[Total Uninsured Population]])</f>
        <v>228.96737102027853</v>
      </c>
      <c r="N45">
        <v>3145</v>
      </c>
      <c r="O45">
        <v>573</v>
      </c>
      <c r="P45" s="73">
        <f>UninsuredTable[[#This Row],[Alternate Adj Total Uninsured]]*(UninsuredTable[[#This Row],[200 to 399% of FPL - No Health Insurance]]/UninsuredTable[[#This Row],[Total Uninsured Population]])</f>
        <v>254.26027828414652</v>
      </c>
      <c r="Q45">
        <v>2270</v>
      </c>
      <c r="R45">
        <v>178</v>
      </c>
      <c r="S45" s="73">
        <f>UninsuredTable[[#This Row],[Alternate Adj Total Uninsured]]*(UninsuredTable[[#This Row],[400% FPL and over - No Health Insurance]]/UninsuredTable[[#This Row],[Total Uninsured Population]])</f>
        <v>78.984868297692984</v>
      </c>
    </row>
    <row r="46" spans="1:19" x14ac:dyDescent="0.3">
      <c r="A46">
        <v>20754</v>
      </c>
      <c r="B46" t="s">
        <v>1135</v>
      </c>
      <c r="C46" t="s">
        <v>1055</v>
      </c>
      <c r="D46">
        <v>6783</v>
      </c>
      <c r="E46">
        <f t="shared" si="0"/>
        <v>403</v>
      </c>
      <c r="F4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403</v>
      </c>
      <c r="G4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403</v>
      </c>
      <c r="H46" s="28">
        <v>406</v>
      </c>
      <c r="I46">
        <f>SUM(VLOOKUP(UninsuredTable[[#This Row],[ZIP code]],ModifiedBaseTable!B:R,11,0),VLOOKUP(UninsuredTable[[#This Row],[ZIP code]],ModifiedBaseTable!B:R,17,0))</f>
        <v>116</v>
      </c>
      <c r="J46" s="73">
        <f>UninsuredTable[[#This Row],[Alternate Adj Total Uninsured]]*(UninsuredTable[[#This Row],[Below 138% of FPL - No Health Insurance]]/UninsuredTable[[#This Row],[Total Uninsured Population]])</f>
        <v>116</v>
      </c>
      <c r="K46">
        <v>229</v>
      </c>
      <c r="L46">
        <v>14</v>
      </c>
      <c r="M46" s="73">
        <f>UninsuredTable[[#This Row],[Alternate Adj Total Uninsured]]*(UninsuredTable[[#This Row],[138% to 199% - No Health Insurance]]/UninsuredTable[[#This Row],[Total Uninsured Population]])</f>
        <v>14</v>
      </c>
      <c r="N46">
        <v>1380</v>
      </c>
      <c r="O46">
        <v>92</v>
      </c>
      <c r="P46" s="73">
        <f>UninsuredTable[[#This Row],[Alternate Adj Total Uninsured]]*(UninsuredTable[[#This Row],[200 to 399% of FPL - No Health Insurance]]/UninsuredTable[[#This Row],[Total Uninsured Population]])</f>
        <v>92</v>
      </c>
      <c r="Q46">
        <v>4768</v>
      </c>
      <c r="R46">
        <v>181</v>
      </c>
      <c r="S46" s="73">
        <f>UninsuredTable[[#This Row],[Alternate Adj Total Uninsured]]*(UninsuredTable[[#This Row],[400% FPL and over - No Health Insurance]]/UninsuredTable[[#This Row],[Total Uninsured Population]])</f>
        <v>181</v>
      </c>
    </row>
    <row r="47" spans="1:19" x14ac:dyDescent="0.3">
      <c r="A47">
        <v>20764</v>
      </c>
      <c r="B47" t="s">
        <v>1184</v>
      </c>
      <c r="C47" t="s">
        <v>996</v>
      </c>
      <c r="D47">
        <v>4312</v>
      </c>
      <c r="E47">
        <f t="shared" si="0"/>
        <v>250</v>
      </c>
      <c r="F4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250</v>
      </c>
      <c r="G4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250</v>
      </c>
      <c r="H47" s="28">
        <v>281</v>
      </c>
      <c r="I47">
        <f>SUM(VLOOKUP(UninsuredTable[[#This Row],[ZIP code]],ModifiedBaseTable!B:R,11,0),VLOOKUP(UninsuredTable[[#This Row],[ZIP code]],ModifiedBaseTable!B:R,17,0))</f>
        <v>33</v>
      </c>
      <c r="J47" s="73">
        <f>UninsuredTable[[#This Row],[Alternate Adj Total Uninsured]]*(UninsuredTable[[#This Row],[Below 138% of FPL - No Health Insurance]]/UninsuredTable[[#This Row],[Total Uninsured Population]])</f>
        <v>33</v>
      </c>
      <c r="K47">
        <v>254</v>
      </c>
      <c r="L47">
        <v>34</v>
      </c>
      <c r="M47" s="73">
        <f>UninsuredTable[[#This Row],[Alternate Adj Total Uninsured]]*(UninsuredTable[[#This Row],[138% to 199% - No Health Insurance]]/UninsuredTable[[#This Row],[Total Uninsured Population]])</f>
        <v>34</v>
      </c>
      <c r="N47">
        <v>1608</v>
      </c>
      <c r="O47">
        <v>43</v>
      </c>
      <c r="P47" s="73">
        <f>UninsuredTable[[#This Row],[Alternate Adj Total Uninsured]]*(UninsuredTable[[#This Row],[200 to 399% of FPL - No Health Insurance]]/UninsuredTable[[#This Row],[Total Uninsured Population]])</f>
        <v>43</v>
      </c>
      <c r="Q47">
        <v>2169</v>
      </c>
      <c r="R47">
        <v>140</v>
      </c>
      <c r="S47" s="73">
        <f>UninsuredTable[[#This Row],[Alternate Adj Total Uninsured]]*(UninsuredTable[[#This Row],[400% FPL and over - No Health Insurance]]/UninsuredTable[[#This Row],[Total Uninsured Population]])</f>
        <v>140</v>
      </c>
    </row>
    <row r="48" spans="1:19" x14ac:dyDescent="0.3">
      <c r="A48">
        <v>20712</v>
      </c>
      <c r="B48" t="s">
        <v>1058</v>
      </c>
      <c r="C48" t="s">
        <v>989</v>
      </c>
      <c r="D48">
        <v>9278</v>
      </c>
      <c r="E48">
        <f t="shared" si="0"/>
        <v>1731</v>
      </c>
      <c r="F4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370.40000000000003</v>
      </c>
      <c r="G4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673.16012240543296</v>
      </c>
      <c r="H48" s="28">
        <v>1546</v>
      </c>
      <c r="I48">
        <f>SUM(VLOOKUP(UninsuredTable[[#This Row],[ZIP code]],ModifiedBaseTable!B:R,11,0),VLOOKUP(UninsuredTable[[#This Row],[ZIP code]],ModifiedBaseTable!B:R,17,0))</f>
        <v>381</v>
      </c>
      <c r="J48" s="73">
        <f>UninsuredTable[[#This Row],[Alternate Adj Total Uninsured]]*(UninsuredTable[[#This Row],[Below 138% of FPL - No Health Insurance]]/UninsuredTable[[#This Row],[Total Uninsured Population]])</f>
        <v>148.16522624868281</v>
      </c>
      <c r="K48">
        <v>1595</v>
      </c>
      <c r="L48">
        <v>503</v>
      </c>
      <c r="M48" s="73">
        <f>UninsuredTable[[#This Row],[Alternate Adj Total Uninsured]]*(UninsuredTable[[#This Row],[138% to 199% - No Health Insurance]]/UninsuredTable[[#This Row],[Total Uninsured Population]])</f>
        <v>195.60920945692249</v>
      </c>
      <c r="N48">
        <v>3298</v>
      </c>
      <c r="O48">
        <v>682</v>
      </c>
      <c r="P48" s="73">
        <f>UninsuredTable[[#This Row],[Alternate Adj Total Uninsured]]*(UninsuredTable[[#This Row],[200 to 399% of FPL - No Health Insurance]]/UninsuredTable[[#This Row],[Total Uninsured Population]])</f>
        <v>265.21964383622492</v>
      </c>
      <c r="Q48">
        <v>2839</v>
      </c>
      <c r="R48">
        <v>165</v>
      </c>
      <c r="S48" s="73">
        <f>UninsuredTable[[#This Row],[Alternate Adj Total Uninsured]]*(UninsuredTable[[#This Row],[400% FPL and over - No Health Insurance]]/UninsuredTable[[#This Row],[Total Uninsured Population]])</f>
        <v>64.166042863602797</v>
      </c>
    </row>
    <row r="49" spans="1:19" x14ac:dyDescent="0.3">
      <c r="A49">
        <v>20715</v>
      </c>
      <c r="B49" t="s">
        <v>1067</v>
      </c>
      <c r="C49" t="s">
        <v>989</v>
      </c>
      <c r="D49">
        <v>24746</v>
      </c>
      <c r="E49">
        <f t="shared" si="0"/>
        <v>1254</v>
      </c>
      <c r="F4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780.80000000000007</v>
      </c>
      <c r="G4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847.17800790907756</v>
      </c>
      <c r="H49" s="28">
        <v>1421</v>
      </c>
      <c r="I49">
        <f>SUM(VLOOKUP(UninsuredTable[[#This Row],[ZIP code]],ModifiedBaseTable!B:R,11,0),VLOOKUP(UninsuredTable[[#This Row],[ZIP code]],ModifiedBaseTable!B:R,17,0))</f>
        <v>215</v>
      </c>
      <c r="J49" s="73">
        <f>UninsuredTable[[#This Row],[Alternate Adj Total Uninsured]]*(UninsuredTable[[#This Row],[Below 138% of FPL - No Health Insurance]]/UninsuredTable[[#This Row],[Total Uninsured Population]])</f>
        <v>145.24981794294391</v>
      </c>
      <c r="K49">
        <v>1450</v>
      </c>
      <c r="L49">
        <v>311</v>
      </c>
      <c r="M49" s="73">
        <f>UninsuredTable[[#This Row],[Alternate Adj Total Uninsured]]*(UninsuredTable[[#This Row],[138% to 199% - No Health Insurance]]/UninsuredTable[[#This Row],[Total Uninsured Population]])</f>
        <v>210.10555060583982</v>
      </c>
      <c r="N49">
        <v>4852</v>
      </c>
      <c r="O49">
        <v>269</v>
      </c>
      <c r="P49" s="73">
        <f>UninsuredTable[[#This Row],[Alternate Adj Total Uninsured]]*(UninsuredTable[[#This Row],[200 to 399% of FPL - No Health Insurance]]/UninsuredTable[[#This Row],[Total Uninsured Population]])</f>
        <v>181.73116756582286</v>
      </c>
      <c r="Q49">
        <v>17023</v>
      </c>
      <c r="R49">
        <v>459</v>
      </c>
      <c r="S49" s="73">
        <f>UninsuredTable[[#This Row],[Alternate Adj Total Uninsured]]*(UninsuredTable[[#This Row],[400% FPL and over - No Health Insurance]]/UninsuredTable[[#This Row],[Total Uninsured Population]])</f>
        <v>310.09147179447098</v>
      </c>
    </row>
    <row r="50" spans="1:19" x14ac:dyDescent="0.3">
      <c r="A50">
        <v>20716</v>
      </c>
      <c r="B50" t="s">
        <v>1067</v>
      </c>
      <c r="C50" t="s">
        <v>989</v>
      </c>
      <c r="D50">
        <v>21910</v>
      </c>
      <c r="E50">
        <f t="shared" si="0"/>
        <v>1281</v>
      </c>
      <c r="F5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687.2</v>
      </c>
      <c r="G5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787.96086092672931</v>
      </c>
      <c r="H50" s="28">
        <v>1200</v>
      </c>
      <c r="I50">
        <f>SUM(VLOOKUP(UninsuredTable[[#This Row],[ZIP code]],ModifiedBaseTable!B:R,11,0),VLOOKUP(UninsuredTable[[#This Row],[ZIP code]],ModifiedBaseTable!B:R,17,0))</f>
        <v>78</v>
      </c>
      <c r="J50" s="73">
        <f>UninsuredTable[[#This Row],[Alternate Adj Total Uninsured]]*(UninsuredTable[[#This Row],[Below 138% of FPL - No Health Insurance]]/UninsuredTable[[#This Row],[Total Uninsured Population]])</f>
        <v>47.978881461580706</v>
      </c>
      <c r="K50">
        <v>1362</v>
      </c>
      <c r="L50">
        <v>151</v>
      </c>
      <c r="M50" s="73">
        <f>UninsuredTable[[#This Row],[Alternate Adj Total Uninsured]]*(UninsuredTable[[#This Row],[138% to 199% - No Health Insurance]]/UninsuredTable[[#This Row],[Total Uninsured Population]])</f>
        <v>92.882193598701122</v>
      </c>
      <c r="N50">
        <v>5569</v>
      </c>
      <c r="O50">
        <v>458</v>
      </c>
      <c r="P50" s="73">
        <f>UninsuredTable[[#This Row],[Alternate Adj Total Uninsured]]*(UninsuredTable[[#This Row],[200 to 399% of FPL - No Health Insurance]]/UninsuredTable[[#This Row],[Total Uninsured Population]])</f>
        <v>281.72215012056364</v>
      </c>
      <c r="Q50">
        <v>13779</v>
      </c>
      <c r="R50">
        <v>594</v>
      </c>
      <c r="S50" s="73">
        <f>UninsuredTable[[#This Row],[Alternate Adj Total Uninsured]]*(UninsuredTable[[#This Row],[400% FPL and over - No Health Insurance]]/UninsuredTable[[#This Row],[Total Uninsured Population]])</f>
        <v>365.37763574588388</v>
      </c>
    </row>
    <row r="51" spans="1:19" x14ac:dyDescent="0.3">
      <c r="A51">
        <v>20720</v>
      </c>
      <c r="B51" t="s">
        <v>1067</v>
      </c>
      <c r="C51" t="s">
        <v>989</v>
      </c>
      <c r="D51">
        <v>22582</v>
      </c>
      <c r="E51">
        <f t="shared" si="0"/>
        <v>883</v>
      </c>
      <c r="F5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883</v>
      </c>
      <c r="G5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883</v>
      </c>
      <c r="H51" s="28">
        <v>1191</v>
      </c>
      <c r="I51">
        <f>SUM(VLOOKUP(UninsuredTable[[#This Row],[ZIP code]],ModifiedBaseTable!B:R,11,0),VLOOKUP(UninsuredTable[[#This Row],[ZIP code]],ModifiedBaseTable!B:R,17,0))</f>
        <v>132</v>
      </c>
      <c r="J51" s="73">
        <f>UninsuredTable[[#This Row],[Alternate Adj Total Uninsured]]*(UninsuredTable[[#This Row],[Below 138% of FPL - No Health Insurance]]/UninsuredTable[[#This Row],[Total Uninsured Population]])</f>
        <v>132</v>
      </c>
      <c r="K51">
        <v>1074</v>
      </c>
      <c r="L51">
        <v>203</v>
      </c>
      <c r="M51" s="73">
        <f>UninsuredTable[[#This Row],[Alternate Adj Total Uninsured]]*(UninsuredTable[[#This Row],[138% to 199% - No Health Insurance]]/UninsuredTable[[#This Row],[Total Uninsured Population]])</f>
        <v>203</v>
      </c>
      <c r="N51">
        <v>3225</v>
      </c>
      <c r="O51">
        <v>259</v>
      </c>
      <c r="P51" s="73">
        <f>UninsuredTable[[#This Row],[Alternate Adj Total Uninsured]]*(UninsuredTable[[#This Row],[200 to 399% of FPL - No Health Insurance]]/UninsuredTable[[#This Row],[Total Uninsured Population]])</f>
        <v>259</v>
      </c>
      <c r="Q51">
        <v>17092</v>
      </c>
      <c r="R51">
        <v>289</v>
      </c>
      <c r="S51" s="73">
        <f>UninsuredTable[[#This Row],[Alternate Adj Total Uninsured]]*(UninsuredTable[[#This Row],[400% FPL and over - No Health Insurance]]/UninsuredTable[[#This Row],[Total Uninsured Population]])</f>
        <v>289</v>
      </c>
    </row>
    <row r="52" spans="1:19" x14ac:dyDescent="0.3">
      <c r="A52">
        <v>20721</v>
      </c>
      <c r="B52" t="s">
        <v>1067</v>
      </c>
      <c r="C52" t="s">
        <v>989</v>
      </c>
      <c r="D52">
        <v>29809</v>
      </c>
      <c r="E52">
        <f t="shared" si="0"/>
        <v>1175</v>
      </c>
      <c r="F5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715.2</v>
      </c>
      <c r="G5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782.29431734694538</v>
      </c>
      <c r="H52" s="28">
        <v>2185</v>
      </c>
      <c r="I52">
        <f>SUM(VLOOKUP(UninsuredTable[[#This Row],[ZIP code]],ModifiedBaseTable!B:R,11,0),VLOOKUP(UninsuredTable[[#This Row],[ZIP code]],ModifiedBaseTable!B:R,17,0))</f>
        <v>182</v>
      </c>
      <c r="J52" s="73">
        <f>UninsuredTable[[#This Row],[Alternate Adj Total Uninsured]]*(UninsuredTable[[#This Row],[Below 138% of FPL - No Health Insurance]]/UninsuredTable[[#This Row],[Total Uninsured Population]])</f>
        <v>121.17239638905878</v>
      </c>
      <c r="K52">
        <v>1113</v>
      </c>
      <c r="L52">
        <v>67</v>
      </c>
      <c r="M52" s="73">
        <f>UninsuredTable[[#This Row],[Alternate Adj Total Uninsured]]*(UninsuredTable[[#This Row],[138% to 199% - No Health Insurance]]/UninsuredTable[[#This Row],[Total Uninsured Population]])</f>
        <v>44.607420648719433</v>
      </c>
      <c r="N52">
        <v>5404</v>
      </c>
      <c r="O52">
        <v>411</v>
      </c>
      <c r="P52" s="73">
        <f>UninsuredTable[[#This Row],[Alternate Adj Total Uninsured]]*(UninsuredTable[[#This Row],[200 to 399% of FPL - No Health Insurance]]/UninsuredTable[[#This Row],[Total Uninsured Population]])</f>
        <v>273.63656547199537</v>
      </c>
      <c r="Q52">
        <v>21107</v>
      </c>
      <c r="R52">
        <v>515</v>
      </c>
      <c r="S52" s="73">
        <f>UninsuredTable[[#This Row],[Alternate Adj Total Uninsured]]*(UninsuredTable[[#This Row],[400% FPL and over - No Health Insurance]]/UninsuredTable[[#This Row],[Total Uninsured Population]])</f>
        <v>342.87793483717184</v>
      </c>
    </row>
    <row r="53" spans="1:19" x14ac:dyDescent="0.3">
      <c r="A53">
        <v>20613</v>
      </c>
      <c r="B53" t="s">
        <v>1076</v>
      </c>
      <c r="C53" t="s">
        <v>989</v>
      </c>
      <c r="D53">
        <v>13950</v>
      </c>
      <c r="E53">
        <f t="shared" si="0"/>
        <v>804</v>
      </c>
      <c r="F5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804</v>
      </c>
      <c r="G5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804</v>
      </c>
      <c r="H53" s="28">
        <v>1042</v>
      </c>
      <c r="I53">
        <f>SUM(VLOOKUP(UninsuredTable[[#This Row],[ZIP code]],ModifiedBaseTable!B:R,11,0),VLOOKUP(UninsuredTable[[#This Row],[ZIP code]],ModifiedBaseTable!B:R,17,0))</f>
        <v>234</v>
      </c>
      <c r="J53" s="73">
        <f>UninsuredTable[[#This Row],[Alternate Adj Total Uninsured]]*(UninsuredTable[[#This Row],[Below 138% of FPL - No Health Insurance]]/UninsuredTable[[#This Row],[Total Uninsured Population]])</f>
        <v>234</v>
      </c>
      <c r="K53">
        <v>673</v>
      </c>
      <c r="L53">
        <v>109</v>
      </c>
      <c r="M53" s="73">
        <f>UninsuredTable[[#This Row],[Alternate Adj Total Uninsured]]*(UninsuredTable[[#This Row],[138% to 199% - No Health Insurance]]/UninsuredTable[[#This Row],[Total Uninsured Population]])</f>
        <v>109</v>
      </c>
      <c r="N53">
        <v>2605</v>
      </c>
      <c r="O53">
        <v>229</v>
      </c>
      <c r="P53" s="73">
        <f>UninsuredTable[[#This Row],[Alternate Adj Total Uninsured]]*(UninsuredTable[[#This Row],[200 to 399% of FPL - No Health Insurance]]/UninsuredTable[[#This Row],[Total Uninsured Population]])</f>
        <v>229</v>
      </c>
      <c r="Q53">
        <v>9630</v>
      </c>
      <c r="R53">
        <v>232</v>
      </c>
      <c r="S53" s="73">
        <f>UninsuredTable[[#This Row],[Alternate Adj Total Uninsured]]*(UninsuredTable[[#This Row],[400% FPL and over - No Health Insurance]]/UninsuredTable[[#This Row],[Total Uninsured Population]])</f>
        <v>232.00000000000003</v>
      </c>
    </row>
    <row r="54" spans="1:19" x14ac:dyDescent="0.3">
      <c r="A54">
        <v>20722</v>
      </c>
      <c r="B54" t="s">
        <v>1093</v>
      </c>
      <c r="C54" t="s">
        <v>989</v>
      </c>
      <c r="D54">
        <v>5932</v>
      </c>
      <c r="E54">
        <f t="shared" si="0"/>
        <v>1194</v>
      </c>
      <c r="F5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383.20000000000005</v>
      </c>
      <c r="G5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553.92041602514553</v>
      </c>
      <c r="H54" s="28">
        <v>1108</v>
      </c>
      <c r="I54">
        <f>SUM(VLOOKUP(UninsuredTable[[#This Row],[ZIP code]],ModifiedBaseTable!B:R,11,0),VLOOKUP(UninsuredTable[[#This Row],[ZIP code]],ModifiedBaseTable!B:R,17,0))</f>
        <v>299</v>
      </c>
      <c r="J54" s="73">
        <f>UninsuredTable[[#This Row],[Alternate Adj Total Uninsured]]*(UninsuredTable[[#This Row],[Below 138% of FPL - No Health Insurance]]/UninsuredTable[[#This Row],[Total Uninsured Population]])</f>
        <v>138.71206397949624</v>
      </c>
      <c r="K54">
        <v>808</v>
      </c>
      <c r="L54">
        <v>145</v>
      </c>
      <c r="M54" s="73">
        <f>UninsuredTable[[#This Row],[Alternate Adj Total Uninsured]]*(UninsuredTable[[#This Row],[138% to 199% - No Health Insurance]]/UninsuredTable[[#This Row],[Total Uninsured Population]])</f>
        <v>67.268392230859376</v>
      </c>
      <c r="N54">
        <v>2055</v>
      </c>
      <c r="O54">
        <v>409</v>
      </c>
      <c r="P54" s="73">
        <f>UninsuredTable[[#This Row],[Alternate Adj Total Uninsured]]*(UninsuredTable[[#This Row],[200 to 399% of FPL - No Health Insurance]]/UninsuredTable[[#This Row],[Total Uninsured Population]])</f>
        <v>189.74325808566542</v>
      </c>
      <c r="Q54">
        <v>1961</v>
      </c>
      <c r="R54">
        <v>341</v>
      </c>
      <c r="S54" s="73">
        <f>UninsuredTable[[#This Row],[Alternate Adj Total Uninsured]]*(UninsuredTable[[#This Row],[400% FPL and over - No Health Insurance]]/UninsuredTable[[#This Row],[Total Uninsured Population]])</f>
        <v>158.19670172912447</v>
      </c>
    </row>
    <row r="55" spans="1:19" x14ac:dyDescent="0.3">
      <c r="A55">
        <v>20769</v>
      </c>
      <c r="B55" t="s">
        <v>1119</v>
      </c>
      <c r="C55" t="s">
        <v>989</v>
      </c>
      <c r="D55">
        <v>7014</v>
      </c>
      <c r="E55">
        <f t="shared" si="0"/>
        <v>598</v>
      </c>
      <c r="F5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598</v>
      </c>
      <c r="G5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598</v>
      </c>
      <c r="H55" s="28">
        <v>901</v>
      </c>
      <c r="I55">
        <f>SUM(VLOOKUP(UninsuredTable[[#This Row],[ZIP code]],ModifiedBaseTable!B:R,11,0),VLOOKUP(UninsuredTable[[#This Row],[ZIP code]],ModifiedBaseTable!B:R,17,0))</f>
        <v>269</v>
      </c>
      <c r="J55" s="73">
        <f>UninsuredTable[[#This Row],[Alternate Adj Total Uninsured]]*(UninsuredTable[[#This Row],[Below 138% of FPL - No Health Insurance]]/UninsuredTable[[#This Row],[Total Uninsured Population]])</f>
        <v>269</v>
      </c>
      <c r="K55">
        <v>242</v>
      </c>
      <c r="L55">
        <v>0</v>
      </c>
      <c r="M55" s="73">
        <f>UninsuredTable[[#This Row],[Alternate Adj Total Uninsured]]*(UninsuredTable[[#This Row],[138% to 199% - No Health Insurance]]/UninsuredTable[[#This Row],[Total Uninsured Population]])</f>
        <v>0</v>
      </c>
      <c r="N55">
        <v>648</v>
      </c>
      <c r="O55">
        <v>155</v>
      </c>
      <c r="P55" s="73">
        <f>UninsuredTable[[#This Row],[Alternate Adj Total Uninsured]]*(UninsuredTable[[#This Row],[200 to 399% of FPL - No Health Insurance]]/UninsuredTable[[#This Row],[Total Uninsured Population]])</f>
        <v>155</v>
      </c>
      <c r="Q55">
        <v>5223</v>
      </c>
      <c r="R55">
        <v>174</v>
      </c>
      <c r="S55" s="73">
        <f>UninsuredTable[[#This Row],[Alternate Adj Total Uninsured]]*(UninsuredTable[[#This Row],[400% FPL and over - No Health Insurance]]/UninsuredTable[[#This Row],[Total Uninsured Population]])</f>
        <v>173.99999999999997</v>
      </c>
    </row>
    <row r="56" spans="1:19" x14ac:dyDescent="0.3">
      <c r="A56">
        <v>20607</v>
      </c>
      <c r="B56" t="s">
        <v>1121</v>
      </c>
      <c r="C56" t="s">
        <v>989</v>
      </c>
      <c r="D56">
        <v>10706</v>
      </c>
      <c r="E56">
        <f t="shared" si="0"/>
        <v>472</v>
      </c>
      <c r="F5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472</v>
      </c>
      <c r="G5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472</v>
      </c>
      <c r="H56" s="28">
        <v>882</v>
      </c>
      <c r="I56">
        <f>SUM(VLOOKUP(UninsuredTable[[#This Row],[ZIP code]],ModifiedBaseTable!B:R,11,0),VLOOKUP(UninsuredTable[[#This Row],[ZIP code]],ModifiedBaseTable!B:R,17,0))</f>
        <v>25</v>
      </c>
      <c r="J56" s="73">
        <f>UninsuredTable[[#This Row],[Alternate Adj Total Uninsured]]*(UninsuredTable[[#This Row],[Below 138% of FPL - No Health Insurance]]/UninsuredTable[[#This Row],[Total Uninsured Population]])</f>
        <v>25</v>
      </c>
      <c r="K56">
        <v>257</v>
      </c>
      <c r="L56">
        <v>0</v>
      </c>
      <c r="M56" s="73">
        <f>UninsuredTable[[#This Row],[Alternate Adj Total Uninsured]]*(UninsuredTable[[#This Row],[138% to 199% - No Health Insurance]]/UninsuredTable[[#This Row],[Total Uninsured Population]])</f>
        <v>0</v>
      </c>
      <c r="N56">
        <v>1645</v>
      </c>
      <c r="O56">
        <v>199</v>
      </c>
      <c r="P56" s="73">
        <f>UninsuredTable[[#This Row],[Alternate Adj Total Uninsured]]*(UninsuredTable[[#This Row],[200 to 399% of FPL - No Health Insurance]]/UninsuredTable[[#This Row],[Total Uninsured Population]])</f>
        <v>199</v>
      </c>
      <c r="Q56">
        <v>7922</v>
      </c>
      <c r="R56">
        <v>248</v>
      </c>
      <c r="S56" s="73">
        <f>UninsuredTable[[#This Row],[Alternate Adj Total Uninsured]]*(UninsuredTable[[#This Row],[400% FPL and over - No Health Insurance]]/UninsuredTable[[#This Row],[Total Uninsured Population]])</f>
        <v>248.00000000000003</v>
      </c>
    </row>
    <row r="57" spans="1:19" x14ac:dyDescent="0.3">
      <c r="A57">
        <v>21044</v>
      </c>
      <c r="B57" t="s">
        <v>1043</v>
      </c>
      <c r="C57" t="s">
        <v>1038</v>
      </c>
      <c r="D57">
        <v>42858</v>
      </c>
      <c r="E57">
        <f t="shared" si="0"/>
        <v>2217</v>
      </c>
      <c r="F5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1000</v>
      </c>
      <c r="G5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1230.8904088060362</v>
      </c>
      <c r="H57" s="28">
        <v>4726</v>
      </c>
      <c r="I57">
        <f>SUM(VLOOKUP(UninsuredTable[[#This Row],[ZIP code]],ModifiedBaseTable!B:R,11,0),VLOOKUP(UninsuredTable[[#This Row],[ZIP code]],ModifiedBaseTable!B:R,17,0))</f>
        <v>363</v>
      </c>
      <c r="J57" s="73">
        <f>UninsuredTable[[#This Row],[Alternate Adj Total Uninsured]]*(UninsuredTable[[#This Row],[Below 138% of FPL - No Health Insurance]]/UninsuredTable[[#This Row],[Total Uninsured Population]])</f>
        <v>201.53956625917507</v>
      </c>
      <c r="K57">
        <v>2028</v>
      </c>
      <c r="L57">
        <v>435</v>
      </c>
      <c r="M57" s="73">
        <f>UninsuredTable[[#This Row],[Alternate Adj Total Uninsured]]*(UninsuredTable[[#This Row],[138% to 199% - No Health Insurance]]/UninsuredTable[[#This Row],[Total Uninsured Population]])</f>
        <v>241.51435626099493</v>
      </c>
      <c r="N57">
        <v>7057</v>
      </c>
      <c r="O57">
        <v>951</v>
      </c>
      <c r="P57" s="73">
        <f>UninsuredTable[[#This Row],[Alternate Adj Total Uninsured]]*(UninsuredTable[[#This Row],[200 to 399% of FPL - No Health Insurance]]/UninsuredTable[[#This Row],[Total Uninsured Population]])</f>
        <v>528.00035127403726</v>
      </c>
      <c r="Q57">
        <v>29047</v>
      </c>
      <c r="R57">
        <v>468</v>
      </c>
      <c r="S57" s="73">
        <f>UninsuredTable[[#This Row],[Alternate Adj Total Uninsured]]*(UninsuredTable[[#This Row],[400% FPL and over - No Health Insurance]]/UninsuredTable[[#This Row],[Total Uninsured Population]])</f>
        <v>259.83613501182901</v>
      </c>
    </row>
    <row r="58" spans="1:19" x14ac:dyDescent="0.3">
      <c r="A58">
        <v>20906</v>
      </c>
      <c r="B58" t="s">
        <v>990</v>
      </c>
      <c r="C58" t="s">
        <v>991</v>
      </c>
      <c r="D58">
        <v>69363</v>
      </c>
      <c r="E58">
        <f t="shared" si="0"/>
        <v>9627</v>
      </c>
      <c r="F5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2764.8</v>
      </c>
      <c r="G5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4238.2485136939486</v>
      </c>
      <c r="H58" s="28">
        <v>11934</v>
      </c>
      <c r="I58">
        <f>SUM(VLOOKUP(UninsuredTable[[#This Row],[ZIP code]],ModifiedBaseTable!B:R,11,0),VLOOKUP(UninsuredTable[[#This Row],[ZIP code]],ModifiedBaseTable!B:R,17,0))</f>
        <v>2845</v>
      </c>
      <c r="J58" s="73">
        <f>UninsuredTable[[#This Row],[Alternate Adj Total Uninsured]]*(UninsuredTable[[#This Row],[Below 138% of FPL - No Health Insurance]]/UninsuredTable[[#This Row],[Total Uninsured Population]])</f>
        <v>1252.4999502918131</v>
      </c>
      <c r="K58">
        <v>8471</v>
      </c>
      <c r="L58">
        <v>1599</v>
      </c>
      <c r="M58" s="73">
        <f>UninsuredTable[[#This Row],[Alternate Adj Total Uninsured]]*(UninsuredTable[[#This Row],[138% to 199% - No Health Insurance]]/UninsuredTable[[#This Row],[Total Uninsured Population]])</f>
        <v>703.95339912710324</v>
      </c>
      <c r="N58">
        <v>19439</v>
      </c>
      <c r="O58">
        <v>3374</v>
      </c>
      <c r="P58" s="73">
        <f>UninsuredTable[[#This Row],[Alternate Adj Total Uninsured]]*(UninsuredTable[[#This Row],[200 to 399% of FPL - No Health Insurance]]/UninsuredTable[[#This Row],[Total Uninsured Population]])</f>
        <v>1485.3900992212925</v>
      </c>
      <c r="Q58">
        <v>29519</v>
      </c>
      <c r="R58">
        <v>1809</v>
      </c>
      <c r="S58" s="73">
        <f>UninsuredTable[[#This Row],[Alternate Adj Total Uninsured]]*(UninsuredTable[[#This Row],[400% FPL and over - No Health Insurance]]/UninsuredTable[[#This Row],[Total Uninsured Population]])</f>
        <v>796.4050650537398</v>
      </c>
    </row>
    <row r="59" spans="1:19" x14ac:dyDescent="0.3">
      <c r="A59">
        <v>20902</v>
      </c>
      <c r="B59" t="s">
        <v>990</v>
      </c>
      <c r="C59" t="s">
        <v>991</v>
      </c>
      <c r="D59">
        <v>52116</v>
      </c>
      <c r="E59">
        <f t="shared" si="0"/>
        <v>8420</v>
      </c>
      <c r="F5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2398.4</v>
      </c>
      <c r="G5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3693.0099240396348</v>
      </c>
      <c r="H59" s="28">
        <v>8007</v>
      </c>
      <c r="I59">
        <f>SUM(VLOOKUP(UninsuredTable[[#This Row],[ZIP code]],ModifiedBaseTable!B:R,11,0),VLOOKUP(UninsuredTable[[#This Row],[ZIP code]],ModifiedBaseTable!B:R,17,0))</f>
        <v>2167</v>
      </c>
      <c r="J59" s="73">
        <f>UninsuredTable[[#This Row],[Alternate Adj Total Uninsured]]*(UninsuredTable[[#This Row],[Below 138% of FPL - No Health Insurance]]/UninsuredTable[[#This Row],[Total Uninsured Population]])</f>
        <v>950.44566572373981</v>
      </c>
      <c r="K59">
        <v>6311</v>
      </c>
      <c r="L59">
        <v>1570</v>
      </c>
      <c r="M59" s="73">
        <f>UninsuredTable[[#This Row],[Alternate Adj Total Uninsured]]*(UninsuredTable[[#This Row],[138% to 199% - No Health Insurance]]/UninsuredTable[[#This Row],[Total Uninsured Population]])</f>
        <v>688.60161291475379</v>
      </c>
      <c r="N59">
        <v>14635</v>
      </c>
      <c r="O59">
        <v>3223</v>
      </c>
      <c r="P59" s="73">
        <f>UninsuredTable[[#This Row],[Alternate Adj Total Uninsured]]*(UninsuredTable[[#This Row],[200 to 399% of FPL - No Health Insurance]]/UninsuredTable[[#This Row],[Total Uninsured Population]])</f>
        <v>1413.6070053657652</v>
      </c>
      <c r="Q59">
        <v>23163</v>
      </c>
      <c r="R59">
        <v>1460</v>
      </c>
      <c r="S59" s="73">
        <f>UninsuredTable[[#This Row],[Alternate Adj Total Uninsured]]*(UninsuredTable[[#This Row],[400% FPL and over - No Health Insurance]]/UninsuredTable[[#This Row],[Total Uninsured Population]])</f>
        <v>640.35564003537604</v>
      </c>
    </row>
    <row r="60" spans="1:19" x14ac:dyDescent="0.3">
      <c r="A60">
        <v>20877</v>
      </c>
      <c r="B60" t="s">
        <v>994</v>
      </c>
      <c r="C60" t="s">
        <v>991</v>
      </c>
      <c r="D60">
        <v>38162</v>
      </c>
      <c r="E60">
        <f t="shared" si="0"/>
        <v>7178</v>
      </c>
      <c r="F6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1776</v>
      </c>
      <c r="G6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2959.8207309827576</v>
      </c>
      <c r="H60" s="28">
        <v>8009</v>
      </c>
      <c r="I60">
        <f>SUM(VLOOKUP(UninsuredTable[[#This Row],[ZIP code]],ModifiedBaseTable!B:R,11,0),VLOOKUP(UninsuredTable[[#This Row],[ZIP code]],ModifiedBaseTable!B:R,17,0))</f>
        <v>2142</v>
      </c>
      <c r="J60" s="73">
        <f>UninsuredTable[[#This Row],[Alternate Adj Total Uninsured]]*(UninsuredTable[[#This Row],[Below 138% of FPL - No Health Insurance]]/UninsuredTable[[#This Row],[Total Uninsured Population]])</f>
        <v>883.24547307955788</v>
      </c>
      <c r="K60">
        <v>5243</v>
      </c>
      <c r="L60">
        <v>1951</v>
      </c>
      <c r="M60" s="73">
        <f>UninsuredTable[[#This Row],[Alternate Adj Total Uninsured]]*(UninsuredTable[[#This Row],[138% to 199% - No Health Insurance]]/UninsuredTable[[#This Row],[Total Uninsured Population]])</f>
        <v>804.48735666583445</v>
      </c>
      <c r="N60">
        <v>11985</v>
      </c>
      <c r="O60">
        <v>2256</v>
      </c>
      <c r="P60" s="73">
        <f>UninsuredTable[[#This Row],[Alternate Adj Total Uninsured]]*(UninsuredTable[[#This Row],[200 to 399% of FPL - No Health Insurance]]/UninsuredTable[[#This Row],[Total Uninsured Population]])</f>
        <v>930.2529352322515</v>
      </c>
      <c r="Q60">
        <v>12925</v>
      </c>
      <c r="R60">
        <v>829</v>
      </c>
      <c r="S60" s="73">
        <f>UninsuredTable[[#This Row],[Alternate Adj Total Uninsured]]*(UninsuredTable[[#This Row],[400% FPL and over - No Health Insurance]]/UninsuredTable[[#This Row],[Total Uninsured Population]])</f>
        <v>341.8349660051137</v>
      </c>
    </row>
    <row r="61" spans="1:19" x14ac:dyDescent="0.3">
      <c r="A61">
        <v>20904</v>
      </c>
      <c r="B61" t="s">
        <v>990</v>
      </c>
      <c r="C61" t="s">
        <v>991</v>
      </c>
      <c r="D61">
        <v>57070</v>
      </c>
      <c r="E61">
        <f t="shared" si="0"/>
        <v>6060</v>
      </c>
      <c r="F6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2645.6000000000004</v>
      </c>
      <c r="G6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3302.9332941499656</v>
      </c>
      <c r="H61" s="28">
        <v>8437</v>
      </c>
      <c r="I61">
        <f>SUM(VLOOKUP(UninsuredTable[[#This Row],[ZIP code]],ModifiedBaseTable!B:R,11,0),VLOOKUP(UninsuredTable[[#This Row],[ZIP code]],ModifiedBaseTable!B:R,17,0))</f>
        <v>1690</v>
      </c>
      <c r="J61" s="73">
        <f>UninsuredTable[[#This Row],[Alternate Adj Total Uninsured]]*(UninsuredTable[[#This Row],[Below 138% of FPL - No Health Insurance]]/UninsuredTable[[#This Row],[Total Uninsured Population]])</f>
        <v>921.1150605797759</v>
      </c>
      <c r="K61">
        <v>5460</v>
      </c>
      <c r="L61">
        <v>1292</v>
      </c>
      <c r="M61" s="73">
        <f>UninsuredTable[[#This Row],[Alternate Adj Total Uninsured]]*(UninsuredTable[[#This Row],[138% to 199% - No Health Insurance]]/UninsuredTable[[#This Row],[Total Uninsured Population]])</f>
        <v>704.18973862075177</v>
      </c>
      <c r="N61">
        <v>14158</v>
      </c>
      <c r="O61">
        <v>1975</v>
      </c>
      <c r="P61" s="73">
        <f>UninsuredTable[[#This Row],[Alternate Adj Total Uninsured]]*(UninsuredTable[[#This Row],[200 to 399% of FPL - No Health Insurance]]/UninsuredTable[[#This Row],[Total Uninsured Population]])</f>
        <v>1076.4510323343534</v>
      </c>
      <c r="Q61">
        <v>29015</v>
      </c>
      <c r="R61">
        <v>1103</v>
      </c>
      <c r="S61" s="73">
        <f>UninsuredTable[[#This Row],[Alternate Adj Total Uninsured]]*(UninsuredTable[[#This Row],[400% FPL and over - No Health Insurance]]/UninsuredTable[[#This Row],[Total Uninsured Population]])</f>
        <v>601.17746261508455</v>
      </c>
    </row>
    <row r="62" spans="1:19" x14ac:dyDescent="0.3">
      <c r="A62">
        <v>20903</v>
      </c>
      <c r="B62" t="s">
        <v>990</v>
      </c>
      <c r="C62" t="s">
        <v>991</v>
      </c>
      <c r="D62">
        <v>25930</v>
      </c>
      <c r="E62">
        <f t="shared" si="0"/>
        <v>6511</v>
      </c>
      <c r="F6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862.40000000000009</v>
      </c>
      <c r="G6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2159.6363919784835</v>
      </c>
      <c r="H62" s="28">
        <v>6146</v>
      </c>
      <c r="I62">
        <f>SUM(VLOOKUP(UninsuredTable[[#This Row],[ZIP code]],ModifiedBaseTable!B:R,11,0),VLOOKUP(UninsuredTable[[#This Row],[ZIP code]],ModifiedBaseTable!B:R,17,0))</f>
        <v>1966</v>
      </c>
      <c r="J62" s="73">
        <f>UninsuredTable[[#This Row],[Alternate Adj Total Uninsured]]*(UninsuredTable[[#This Row],[Below 138% of FPL - No Health Insurance]]/UninsuredTable[[#This Row],[Total Uninsured Population]])</f>
        <v>652.10338605893082</v>
      </c>
      <c r="K62">
        <v>4911</v>
      </c>
      <c r="L62">
        <v>1553</v>
      </c>
      <c r="M62" s="73">
        <f>UninsuredTable[[#This Row],[Alternate Adj Total Uninsured]]*(UninsuredTable[[#This Row],[138% to 199% - No Health Insurance]]/UninsuredTable[[#This Row],[Total Uninsured Population]])</f>
        <v>515.11523832630701</v>
      </c>
      <c r="N62">
        <v>8023</v>
      </c>
      <c r="O62">
        <v>2355</v>
      </c>
      <c r="P62" s="73">
        <f>UninsuredTable[[#This Row],[Alternate Adj Total Uninsured]]*(UninsuredTable[[#This Row],[200 to 399% of FPL - No Health Insurance]]/UninsuredTable[[#This Row],[Total Uninsured Population]])</f>
        <v>781.13096346326665</v>
      </c>
      <c r="Q62">
        <v>6850</v>
      </c>
      <c r="R62">
        <v>637</v>
      </c>
      <c r="S62" s="73">
        <f>UninsuredTable[[#This Row],[Alternate Adj Total Uninsured]]*(UninsuredTable[[#This Row],[400% FPL and over - No Health Insurance]]/UninsuredTable[[#This Row],[Total Uninsured Population]])</f>
        <v>211.28680412997912</v>
      </c>
    </row>
    <row r="63" spans="1:19" x14ac:dyDescent="0.3">
      <c r="A63">
        <v>20874</v>
      </c>
      <c r="B63" t="s">
        <v>1000</v>
      </c>
      <c r="C63" t="s">
        <v>991</v>
      </c>
      <c r="D63">
        <v>60509</v>
      </c>
      <c r="E63">
        <f t="shared" si="0"/>
        <v>4529</v>
      </c>
      <c r="F6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2114.4</v>
      </c>
      <c r="G6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2564.7198666061881</v>
      </c>
      <c r="H63" s="28">
        <v>7594</v>
      </c>
      <c r="I63">
        <f>SUM(VLOOKUP(UninsuredTable[[#This Row],[ZIP code]],ModifiedBaseTable!B:R,11,0),VLOOKUP(UninsuredTable[[#This Row],[ZIP code]],ModifiedBaseTable!B:R,17,0))</f>
        <v>1253</v>
      </c>
      <c r="J63" s="73">
        <f>UninsuredTable[[#This Row],[Alternate Adj Total Uninsured]]*(UninsuredTable[[#This Row],[Below 138% of FPL - No Health Insurance]]/UninsuredTable[[#This Row],[Total Uninsured Population]])</f>
        <v>709.5592830332422</v>
      </c>
      <c r="K63">
        <v>4980</v>
      </c>
      <c r="L63">
        <v>554</v>
      </c>
      <c r="M63" s="73">
        <f>UninsuredTable[[#This Row],[Alternate Adj Total Uninsured]]*(UninsuredTable[[#This Row],[138% to 199% - No Health Insurance]]/UninsuredTable[[#This Row],[Total Uninsured Population]])</f>
        <v>313.72373727088279</v>
      </c>
      <c r="N63">
        <v>16576</v>
      </c>
      <c r="O63">
        <v>1718</v>
      </c>
      <c r="P63" s="73">
        <f>UninsuredTable[[#This Row],[Alternate Adj Total Uninsured]]*(UninsuredTable[[#This Row],[200 to 399% of FPL - No Health Insurance]]/UninsuredTable[[#This Row],[Total Uninsured Population]])</f>
        <v>972.88335854039099</v>
      </c>
      <c r="Q63">
        <v>31359</v>
      </c>
      <c r="R63">
        <v>1004</v>
      </c>
      <c r="S63" s="73">
        <f>UninsuredTable[[#This Row],[Alternate Adj Total Uninsured]]*(UninsuredTable[[#This Row],[400% FPL and over - No Health Insurance]]/UninsuredTable[[#This Row],[Total Uninsured Population]])</f>
        <v>568.55348776167216</v>
      </c>
    </row>
    <row r="64" spans="1:19" x14ac:dyDescent="0.3">
      <c r="A64">
        <v>20901</v>
      </c>
      <c r="B64" t="s">
        <v>990</v>
      </c>
      <c r="C64" t="s">
        <v>991</v>
      </c>
      <c r="D64">
        <v>36585</v>
      </c>
      <c r="E64">
        <f t="shared" si="0"/>
        <v>4334</v>
      </c>
      <c r="F6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1564</v>
      </c>
      <c r="G6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2132.0333842291207</v>
      </c>
      <c r="H64" s="28">
        <v>4972</v>
      </c>
      <c r="I64">
        <f>SUM(VLOOKUP(UninsuredTable[[#This Row],[ZIP code]],ModifiedBaseTable!B:R,11,0),VLOOKUP(UninsuredTable[[#This Row],[ZIP code]],ModifiedBaseTable!B:R,17,0))</f>
        <v>1067</v>
      </c>
      <c r="J64" s="73">
        <f>UninsuredTable[[#This Row],[Alternate Adj Total Uninsured]]*(UninsuredTable[[#This Row],[Below 138% of FPL - No Health Insurance]]/UninsuredTable[[#This Row],[Total Uninsured Population]])</f>
        <v>524.89146769092565</v>
      </c>
      <c r="K64">
        <v>2608</v>
      </c>
      <c r="L64">
        <v>872</v>
      </c>
      <c r="M64" s="73">
        <f>UninsuredTable[[#This Row],[Alternate Adj Total Uninsured]]*(UninsuredTable[[#This Row],[138% to 199% - No Health Insurance]]/UninsuredTable[[#This Row],[Total Uninsured Population]])</f>
        <v>428.9647233612813</v>
      </c>
      <c r="N64">
        <v>8420</v>
      </c>
      <c r="O64">
        <v>1857</v>
      </c>
      <c r="P64" s="73">
        <f>UninsuredTable[[#This Row],[Alternate Adj Total Uninsured]]*(UninsuredTable[[#This Row],[200 to 399% of FPL - No Health Insurance]]/UninsuredTable[[#This Row],[Total Uninsured Population]])</f>
        <v>913.51776523153603</v>
      </c>
      <c r="Q64">
        <v>20585</v>
      </c>
      <c r="R64">
        <v>538</v>
      </c>
      <c r="S64" s="73">
        <f>UninsuredTable[[#This Row],[Alternate Adj Total Uninsured]]*(UninsuredTable[[#This Row],[400% FPL and over - No Health Insurance]]/UninsuredTable[[#This Row],[Total Uninsured Population]])</f>
        <v>264.65942794537767</v>
      </c>
    </row>
    <row r="65" spans="1:19" x14ac:dyDescent="0.3">
      <c r="A65">
        <v>20886</v>
      </c>
      <c r="B65" t="s">
        <v>1013</v>
      </c>
      <c r="C65" t="s">
        <v>991</v>
      </c>
      <c r="D65">
        <v>34408</v>
      </c>
      <c r="E65">
        <f t="shared" si="0"/>
        <v>4004</v>
      </c>
      <c r="F6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1320</v>
      </c>
      <c r="G6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1882.0641389135562</v>
      </c>
      <c r="H65" s="28">
        <v>5248</v>
      </c>
      <c r="I65">
        <f>SUM(VLOOKUP(UninsuredTable[[#This Row],[ZIP code]],ModifiedBaseTable!B:R,11,0),VLOOKUP(UninsuredTable[[#This Row],[ZIP code]],ModifiedBaseTable!B:R,17,0))</f>
        <v>977</v>
      </c>
      <c r="J65" s="73">
        <f>UninsuredTable[[#This Row],[Alternate Adj Total Uninsured]]*(UninsuredTable[[#This Row],[Below 138% of FPL - No Health Insurance]]/UninsuredTable[[#This Row],[Total Uninsured Population]])</f>
        <v>459.23493099863748</v>
      </c>
      <c r="K65">
        <v>3893</v>
      </c>
      <c r="L65">
        <v>720</v>
      </c>
      <c r="M65" s="73">
        <f>UninsuredTable[[#This Row],[Alternate Adj Total Uninsured]]*(UninsuredTable[[#This Row],[138% to 199% - No Health Insurance]]/UninsuredTable[[#This Row],[Total Uninsured Population]])</f>
        <v>338.43311189254757</v>
      </c>
      <c r="N65">
        <v>9166</v>
      </c>
      <c r="O65">
        <v>1612</v>
      </c>
      <c r="P65" s="73">
        <f>UninsuredTable[[#This Row],[Alternate Adj Total Uninsured]]*(UninsuredTable[[#This Row],[200 to 399% of FPL - No Health Insurance]]/UninsuredTable[[#This Row],[Total Uninsured Population]])</f>
        <v>757.71413384831487</v>
      </c>
      <c r="Q65">
        <v>16101</v>
      </c>
      <c r="R65">
        <v>695</v>
      </c>
      <c r="S65" s="73">
        <f>UninsuredTable[[#This Row],[Alternate Adj Total Uninsured]]*(UninsuredTable[[#This Row],[400% FPL and over - No Health Insurance]]/UninsuredTable[[#This Row],[Total Uninsured Population]])</f>
        <v>326.68196217405637</v>
      </c>
    </row>
    <row r="66" spans="1:19" x14ac:dyDescent="0.3">
      <c r="A66">
        <v>20912</v>
      </c>
      <c r="B66" t="s">
        <v>1018</v>
      </c>
      <c r="C66" t="s">
        <v>991</v>
      </c>
      <c r="D66">
        <v>25619</v>
      </c>
      <c r="E66">
        <f t="shared" si="0"/>
        <v>3740</v>
      </c>
      <c r="F6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982.40000000000009</v>
      </c>
      <c r="G6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1582.1897693079238</v>
      </c>
      <c r="H66" s="28">
        <v>4477</v>
      </c>
      <c r="I66">
        <f>SUM(VLOOKUP(UninsuredTable[[#This Row],[ZIP code]],ModifiedBaseTable!B:R,11,0),VLOOKUP(UninsuredTable[[#This Row],[ZIP code]],ModifiedBaseTable!B:R,17,0))</f>
        <v>1035</v>
      </c>
      <c r="J66" s="73">
        <f>UninsuredTable[[#This Row],[Alternate Adj Total Uninsured]]*(UninsuredTable[[#This Row],[Below 138% of FPL - No Health Insurance]]/UninsuredTable[[#This Row],[Total Uninsured Population]])</f>
        <v>437.85198161328907</v>
      </c>
      <c r="K66">
        <v>2793</v>
      </c>
      <c r="L66">
        <v>831</v>
      </c>
      <c r="M66" s="73">
        <f>UninsuredTable[[#This Row],[Alternate Adj Total Uninsured]]*(UninsuredTable[[#This Row],[138% to 199% - No Health Insurance]]/UninsuredTable[[#This Row],[Total Uninsured Population]])</f>
        <v>351.55072146922049</v>
      </c>
      <c r="N66">
        <v>6320</v>
      </c>
      <c r="O66">
        <v>1194</v>
      </c>
      <c r="P66" s="73">
        <f>UninsuredTable[[#This Row],[Alternate Adj Total Uninsured]]*(UninsuredTable[[#This Row],[200 to 399% of FPL - No Health Insurance]]/UninsuredTable[[#This Row],[Total Uninsured Population]])</f>
        <v>505.116199078519</v>
      </c>
      <c r="Q66">
        <v>12029</v>
      </c>
      <c r="R66">
        <v>680</v>
      </c>
      <c r="S66" s="73">
        <f>UninsuredTable[[#This Row],[Alternate Adj Total Uninsured]]*(UninsuredTable[[#This Row],[400% FPL and over - No Health Insurance]]/UninsuredTable[[#This Row],[Total Uninsured Population]])</f>
        <v>287.67086714689526</v>
      </c>
    </row>
    <row r="67" spans="1:19" x14ac:dyDescent="0.3">
      <c r="A67">
        <v>20878</v>
      </c>
      <c r="B67" t="s">
        <v>994</v>
      </c>
      <c r="C67" t="s">
        <v>991</v>
      </c>
      <c r="D67">
        <v>64561</v>
      </c>
      <c r="E67">
        <f t="shared" ref="E67:E130" si="1">I67+L67+O67+R67</f>
        <v>3418</v>
      </c>
      <c r="F6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1172</v>
      </c>
      <c r="G6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1638.317444051901</v>
      </c>
      <c r="H67" s="28">
        <v>4866</v>
      </c>
      <c r="I67">
        <f>SUM(VLOOKUP(UninsuredTable[[#This Row],[ZIP code]],ModifiedBaseTable!B:R,11,0),VLOOKUP(UninsuredTable[[#This Row],[ZIP code]],ModifiedBaseTable!B:R,17,0))</f>
        <v>597</v>
      </c>
      <c r="J67" s="73">
        <f>UninsuredTable[[#This Row],[Alternate Adj Total Uninsured]]*(UninsuredTable[[#This Row],[Below 138% of FPL - No Health Insurance]]/UninsuredTable[[#This Row],[Total Uninsured Population]])</f>
        <v>286.15433414247656</v>
      </c>
      <c r="K67">
        <v>3905</v>
      </c>
      <c r="L67">
        <v>718</v>
      </c>
      <c r="M67" s="73">
        <f>UninsuredTable[[#This Row],[Alternate Adj Total Uninsured]]*(UninsuredTable[[#This Row],[138% to 199% - No Health Insurance]]/UninsuredTable[[#This Row],[Total Uninsured Population]])</f>
        <v>344.1521137592934</v>
      </c>
      <c r="N67">
        <v>11738</v>
      </c>
      <c r="O67">
        <v>1364</v>
      </c>
      <c r="P67" s="73">
        <f>UninsuredTable[[#This Row],[Alternate Adj Total Uninsured]]*(UninsuredTable[[#This Row],[200 to 399% of FPL - No Health Insurance]]/UninsuredTable[[#This Row],[Total Uninsured Population]])</f>
        <v>653.79315204411728</v>
      </c>
      <c r="Q67">
        <v>44052</v>
      </c>
      <c r="R67">
        <v>739</v>
      </c>
      <c r="S67" s="73">
        <f>UninsuredTable[[#This Row],[Alternate Adj Total Uninsured]]*(UninsuredTable[[#This Row],[400% FPL and over - No Health Insurance]]/UninsuredTable[[#This Row],[Total Uninsured Population]])</f>
        <v>354.21784410601373</v>
      </c>
    </row>
    <row r="68" spans="1:19" x14ac:dyDescent="0.3">
      <c r="A68">
        <v>20850</v>
      </c>
      <c r="B68" t="s">
        <v>1033</v>
      </c>
      <c r="C68" t="s">
        <v>991</v>
      </c>
      <c r="D68">
        <v>49362</v>
      </c>
      <c r="E68">
        <f t="shared" si="1"/>
        <v>2691</v>
      </c>
      <c r="F6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1351.2</v>
      </c>
      <c r="G6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1590.4473522478265</v>
      </c>
      <c r="H68" s="28">
        <v>4870</v>
      </c>
      <c r="I68">
        <f>SUM(VLOOKUP(UninsuredTable[[#This Row],[ZIP code]],ModifiedBaseTable!B:R,11,0),VLOOKUP(UninsuredTable[[#This Row],[ZIP code]],ModifiedBaseTable!B:R,17,0))</f>
        <v>471</v>
      </c>
      <c r="J68" s="73">
        <f>UninsuredTable[[#This Row],[Alternate Adj Total Uninsured]]*(UninsuredTable[[#This Row],[Below 138% of FPL - No Health Insurance]]/UninsuredTable[[#This Row],[Total Uninsured Population]])</f>
        <v>278.37261349265191</v>
      </c>
      <c r="K68">
        <v>2057</v>
      </c>
      <c r="L68">
        <v>321</v>
      </c>
      <c r="M68" s="73">
        <f>UninsuredTable[[#This Row],[Alternate Adj Total Uninsured]]*(UninsuredTable[[#This Row],[138% to 199% - No Health Insurance]]/UninsuredTable[[#This Row],[Total Uninsured Population]])</f>
        <v>189.71891492811309</v>
      </c>
      <c r="N68">
        <v>10002</v>
      </c>
      <c r="O68">
        <v>1059</v>
      </c>
      <c r="P68" s="73">
        <f>UninsuredTable[[#This Row],[Alternate Adj Total Uninsured]]*(UninsuredTable[[#This Row],[200 to 399% of FPL - No Health Insurance]]/UninsuredTable[[#This Row],[Total Uninsured Population]])</f>
        <v>625.89511186564414</v>
      </c>
      <c r="Q68">
        <v>32433</v>
      </c>
      <c r="R68">
        <v>840</v>
      </c>
      <c r="S68" s="73">
        <f>UninsuredTable[[#This Row],[Alternate Adj Total Uninsured]]*(UninsuredTable[[#This Row],[400% FPL and over - No Health Insurance]]/UninsuredTable[[#This Row],[Total Uninsured Population]])</f>
        <v>496.46071196141736</v>
      </c>
    </row>
    <row r="69" spans="1:19" x14ac:dyDescent="0.3">
      <c r="A69">
        <v>20853</v>
      </c>
      <c r="B69" t="s">
        <v>1033</v>
      </c>
      <c r="C69" t="s">
        <v>991</v>
      </c>
      <c r="D69">
        <v>30426</v>
      </c>
      <c r="E69">
        <f t="shared" si="1"/>
        <v>2856</v>
      </c>
      <c r="F6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1044</v>
      </c>
      <c r="G6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1414.3319793776234</v>
      </c>
      <c r="H69" s="28">
        <v>2653</v>
      </c>
      <c r="I69">
        <f>SUM(VLOOKUP(UninsuredTable[[#This Row],[ZIP code]],ModifiedBaseTable!B:R,11,0),VLOOKUP(UninsuredTable[[#This Row],[ZIP code]],ModifiedBaseTable!B:R,17,0))</f>
        <v>657</v>
      </c>
      <c r="J69" s="73">
        <f>UninsuredTable[[#This Row],[Alternate Adj Total Uninsured]]*(UninsuredTable[[#This Row],[Below 138% of FPL - No Health Insurance]]/UninsuredTable[[#This Row],[Total Uninsured Population]])</f>
        <v>325.35578097027258</v>
      </c>
      <c r="K69">
        <v>2560</v>
      </c>
      <c r="L69">
        <v>790</v>
      </c>
      <c r="M69" s="73">
        <f>UninsuredTable[[#This Row],[Alternate Adj Total Uninsured]]*(UninsuredTable[[#This Row],[138% to 199% - No Health Insurance]]/UninsuredTable[[#This Row],[Total Uninsured Population]])</f>
        <v>391.21928000991687</v>
      </c>
      <c r="N69">
        <v>6737</v>
      </c>
      <c r="O69">
        <v>724</v>
      </c>
      <c r="P69" s="73">
        <f>UninsuredTable[[#This Row],[Alternate Adj Total Uninsured]]*(UninsuredTable[[#This Row],[200 to 399% of FPL - No Health Insurance]]/UninsuredTable[[#This Row],[Total Uninsured Population]])</f>
        <v>358.53513762934148</v>
      </c>
      <c r="Q69">
        <v>18476</v>
      </c>
      <c r="R69">
        <v>685</v>
      </c>
      <c r="S69" s="73">
        <f>UninsuredTable[[#This Row],[Alternate Adj Total Uninsured]]*(UninsuredTable[[#This Row],[400% FPL and over - No Health Insurance]]/UninsuredTable[[#This Row],[Total Uninsured Population]])</f>
        <v>339.22178076809246</v>
      </c>
    </row>
    <row r="70" spans="1:19" x14ac:dyDescent="0.3">
      <c r="A70">
        <v>20851</v>
      </c>
      <c r="B70" t="s">
        <v>1033</v>
      </c>
      <c r="C70" t="s">
        <v>991</v>
      </c>
      <c r="D70">
        <v>14965</v>
      </c>
      <c r="E70">
        <f t="shared" si="1"/>
        <v>3035</v>
      </c>
      <c r="F7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483.20000000000005</v>
      </c>
      <c r="G7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1063.6494144854948</v>
      </c>
      <c r="H70" s="28">
        <v>2826</v>
      </c>
      <c r="I70">
        <f>SUM(VLOOKUP(UninsuredTable[[#This Row],[ZIP code]],ModifiedBaseTable!B:R,11,0),VLOOKUP(UninsuredTable[[#This Row],[ZIP code]],ModifiedBaseTable!B:R,17,0))</f>
        <v>1154</v>
      </c>
      <c r="J70" s="73">
        <f>UninsuredTable[[#This Row],[Alternate Adj Total Uninsured]]*(UninsuredTable[[#This Row],[Below 138% of FPL - No Health Insurance]]/UninsuredTable[[#This Row],[Total Uninsured Population]])</f>
        <v>404.43210026894928</v>
      </c>
      <c r="K70">
        <v>1032</v>
      </c>
      <c r="L70">
        <v>353</v>
      </c>
      <c r="M70" s="73">
        <f>UninsuredTable[[#This Row],[Alternate Adj Total Uninsured]]*(UninsuredTable[[#This Row],[138% to 199% - No Health Insurance]]/UninsuredTable[[#This Row],[Total Uninsured Population]])</f>
        <v>123.71276550687962</v>
      </c>
      <c r="N70">
        <v>4524</v>
      </c>
      <c r="O70">
        <v>1353</v>
      </c>
      <c r="P70" s="73">
        <f>UninsuredTable[[#This Row],[Alternate Adj Total Uninsured]]*(UninsuredTable[[#This Row],[200 to 399% of FPL - No Health Insurance]]/UninsuredTable[[#This Row],[Total Uninsured Population]])</f>
        <v>474.17385759435734</v>
      </c>
      <c r="Q70">
        <v>6583</v>
      </c>
      <c r="R70">
        <v>175</v>
      </c>
      <c r="S70" s="73">
        <f>UninsuredTable[[#This Row],[Alternate Adj Total Uninsured]]*(UninsuredTable[[#This Row],[400% FPL and over - No Health Insurance]]/UninsuredTable[[#This Row],[Total Uninsured Population]])</f>
        <v>61.330691115308596</v>
      </c>
    </row>
    <row r="71" spans="1:19" x14ac:dyDescent="0.3">
      <c r="A71">
        <v>20879</v>
      </c>
      <c r="B71" t="s">
        <v>994</v>
      </c>
      <c r="C71" t="s">
        <v>991</v>
      </c>
      <c r="D71">
        <v>26323</v>
      </c>
      <c r="E71">
        <f t="shared" si="1"/>
        <v>2471</v>
      </c>
      <c r="F7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1100.8</v>
      </c>
      <c r="G7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1362.2529448217265</v>
      </c>
      <c r="H71" s="28">
        <v>3828</v>
      </c>
      <c r="I71">
        <f>SUM(VLOOKUP(UninsuredTable[[#This Row],[ZIP code]],ModifiedBaseTable!B:R,11,0),VLOOKUP(UninsuredTable[[#This Row],[ZIP code]],ModifiedBaseTable!B:R,17,0))</f>
        <v>433</v>
      </c>
      <c r="J71" s="73">
        <f>UninsuredTable[[#This Row],[Alternate Adj Total Uninsured]]*(UninsuredTable[[#This Row],[Below 138% of FPL - No Health Insurance]]/UninsuredTable[[#This Row],[Total Uninsured Population]])</f>
        <v>238.71126066685861</v>
      </c>
      <c r="K71">
        <v>2089</v>
      </c>
      <c r="L71">
        <v>262</v>
      </c>
      <c r="M71" s="73">
        <f>UninsuredTable[[#This Row],[Alternate Adj Total Uninsured]]*(UninsuredTable[[#This Row],[138% to 199% - No Health Insurance]]/UninsuredTable[[#This Row],[Total Uninsured Population]])</f>
        <v>144.43960807093984</v>
      </c>
      <c r="N71">
        <v>8551</v>
      </c>
      <c r="O71">
        <v>1126</v>
      </c>
      <c r="P71" s="73">
        <f>UninsuredTable[[#This Row],[Alternate Adj Total Uninsured]]*(UninsuredTable[[#This Row],[200 to 399% of FPL - No Health Insurance]]/UninsuredTable[[#This Row],[Total Uninsured Population]])</f>
        <v>620.75953697663454</v>
      </c>
      <c r="Q71">
        <v>11855</v>
      </c>
      <c r="R71">
        <v>650</v>
      </c>
      <c r="S71" s="73">
        <f>UninsuredTable[[#This Row],[Alternate Adj Total Uninsured]]*(UninsuredTable[[#This Row],[400% FPL and over - No Health Insurance]]/UninsuredTable[[#This Row],[Total Uninsured Population]])</f>
        <v>358.34253910729348</v>
      </c>
    </row>
    <row r="72" spans="1:19" x14ac:dyDescent="0.3">
      <c r="A72">
        <v>20910</v>
      </c>
      <c r="B72" t="s">
        <v>990</v>
      </c>
      <c r="C72" t="s">
        <v>991</v>
      </c>
      <c r="D72">
        <v>42038</v>
      </c>
      <c r="E72">
        <f t="shared" si="1"/>
        <v>2506</v>
      </c>
      <c r="F7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1054.4000000000001</v>
      </c>
      <c r="G7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1338.0585373956264</v>
      </c>
      <c r="H72" s="28">
        <v>5770</v>
      </c>
      <c r="I72">
        <f>SUM(VLOOKUP(UninsuredTable[[#This Row],[ZIP code]],ModifiedBaseTable!B:R,11,0),VLOOKUP(UninsuredTable[[#This Row],[ZIP code]],ModifiedBaseTable!B:R,17,0))</f>
        <v>755</v>
      </c>
      <c r="J72" s="73">
        <f>UninsuredTable[[#This Row],[Alternate Adj Total Uninsured]]*(UninsuredTable[[#This Row],[Below 138% of FPL - No Health Insurance]]/UninsuredTable[[#This Row],[Total Uninsured Population]])</f>
        <v>403.12617547234555</v>
      </c>
      <c r="K72">
        <v>2841</v>
      </c>
      <c r="L72">
        <v>168</v>
      </c>
      <c r="M72" s="73">
        <f>UninsuredTable[[#This Row],[Alternate Adj Total Uninsured]]*(UninsuredTable[[#This Row],[138% to 199% - No Health Insurance]]/UninsuredTable[[#This Row],[Total Uninsured Population]])</f>
        <v>89.702248317025237</v>
      </c>
      <c r="N72">
        <v>9286</v>
      </c>
      <c r="O72">
        <v>661</v>
      </c>
      <c r="P72" s="73">
        <f>UninsuredTable[[#This Row],[Alternate Adj Total Uninsured]]*(UninsuredTable[[#This Row],[200 to 399% of FPL - No Health Insurance]]/UninsuredTable[[#This Row],[Total Uninsured Population]])</f>
        <v>352.93563177115288</v>
      </c>
      <c r="Q72">
        <v>24141</v>
      </c>
      <c r="R72">
        <v>922</v>
      </c>
      <c r="S72" s="73">
        <f>UninsuredTable[[#This Row],[Alternate Adj Total Uninsured]]*(UninsuredTable[[#This Row],[400% FPL and over - No Health Insurance]]/UninsuredTable[[#This Row],[Total Uninsured Population]])</f>
        <v>492.29448183510277</v>
      </c>
    </row>
    <row r="73" spans="1:19" x14ac:dyDescent="0.3">
      <c r="A73">
        <v>20852</v>
      </c>
      <c r="B73" t="s">
        <v>1033</v>
      </c>
      <c r="C73" t="s">
        <v>991</v>
      </c>
      <c r="D73">
        <v>45569</v>
      </c>
      <c r="E73">
        <f t="shared" si="1"/>
        <v>2531</v>
      </c>
      <c r="F7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912</v>
      </c>
      <c r="G7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1244.1288093580106</v>
      </c>
      <c r="H73" s="28">
        <v>4877</v>
      </c>
      <c r="I73">
        <f>SUM(VLOOKUP(UninsuredTable[[#This Row],[ZIP code]],ModifiedBaseTable!B:R,11,0),VLOOKUP(UninsuredTable[[#This Row],[ZIP code]],ModifiedBaseTable!B:R,17,0))</f>
        <v>579</v>
      </c>
      <c r="J73" s="73">
        <f>UninsuredTable[[#This Row],[Alternate Adj Total Uninsured]]*(UninsuredTable[[#This Row],[Below 138% of FPL - No Health Insurance]]/UninsuredTable[[#This Row],[Total Uninsured Population]])</f>
        <v>284.61105516329042</v>
      </c>
      <c r="K73">
        <v>3154</v>
      </c>
      <c r="L73">
        <v>717</v>
      </c>
      <c r="M73" s="73">
        <f>UninsuredTable[[#This Row],[Alternate Adj Total Uninsured]]*(UninsuredTable[[#This Row],[138% to 199% - No Health Insurance]]/UninsuredTable[[#This Row],[Total Uninsured Population]])</f>
        <v>352.44581442500737</v>
      </c>
      <c r="N73">
        <v>8521</v>
      </c>
      <c r="O73">
        <v>478</v>
      </c>
      <c r="P73" s="73">
        <f>UninsuredTable[[#This Row],[Alternate Adj Total Uninsured]]*(UninsuredTable[[#This Row],[200 to 399% of FPL - No Health Insurance]]/UninsuredTable[[#This Row],[Total Uninsured Population]])</f>
        <v>234.96387628333824</v>
      </c>
      <c r="Q73">
        <v>29017</v>
      </c>
      <c r="R73">
        <v>757</v>
      </c>
      <c r="S73" s="73">
        <f>UninsuredTable[[#This Row],[Alternate Adj Total Uninsured]]*(UninsuredTable[[#This Row],[400% FPL and over - No Health Insurance]]/UninsuredTable[[#This Row],[Total Uninsured Population]])</f>
        <v>372.10806348637453</v>
      </c>
    </row>
    <row r="74" spans="1:19" x14ac:dyDescent="0.3">
      <c r="A74">
        <v>20876</v>
      </c>
      <c r="B74" t="s">
        <v>1000</v>
      </c>
      <c r="C74" t="s">
        <v>991</v>
      </c>
      <c r="D74">
        <v>27280</v>
      </c>
      <c r="E74">
        <f t="shared" si="1"/>
        <v>2442</v>
      </c>
      <c r="F7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1014.4000000000001</v>
      </c>
      <c r="G7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1294.7157600189103</v>
      </c>
      <c r="H74" s="28">
        <v>2971</v>
      </c>
      <c r="I74">
        <f>SUM(VLOOKUP(UninsuredTable[[#This Row],[ZIP code]],ModifiedBaseTable!B:R,11,0),VLOOKUP(UninsuredTable[[#This Row],[ZIP code]],ModifiedBaseTable!B:R,17,0))</f>
        <v>436</v>
      </c>
      <c r="J74" s="73">
        <f>UninsuredTable[[#This Row],[Alternate Adj Total Uninsured]]*(UninsuredTable[[#This Row],[Below 138% of FPL - No Health Insurance]]/UninsuredTable[[#This Row],[Total Uninsured Population]])</f>
        <v>231.16137238666866</v>
      </c>
      <c r="K74">
        <v>2151</v>
      </c>
      <c r="L74">
        <v>293</v>
      </c>
      <c r="M74" s="73">
        <f>UninsuredTable[[#This Row],[Alternate Adj Total Uninsured]]*(UninsuredTable[[#This Row],[138% to 199% - No Health Insurance]]/UninsuredTable[[#This Row],[Total Uninsured Population]])</f>
        <v>155.34468373691266</v>
      </c>
      <c r="N74">
        <v>6589</v>
      </c>
      <c r="O74">
        <v>1181</v>
      </c>
      <c r="P74" s="73">
        <f>UninsuredTable[[#This Row],[Alternate Adj Total Uninsured]]*(UninsuredTable[[#This Row],[200 to 399% of FPL - No Health Insurance]]/UninsuredTable[[#This Row],[Total Uninsured Population]])</f>
        <v>626.15041465288004</v>
      </c>
      <c r="Q74">
        <v>15569</v>
      </c>
      <c r="R74">
        <v>532</v>
      </c>
      <c r="S74" s="73">
        <f>UninsuredTable[[#This Row],[Alternate Adj Total Uninsured]]*(UninsuredTable[[#This Row],[400% FPL and over - No Health Insurance]]/UninsuredTable[[#This Row],[Total Uninsured Population]])</f>
        <v>282.05928924244893</v>
      </c>
    </row>
    <row r="75" spans="1:19" x14ac:dyDescent="0.3">
      <c r="A75">
        <v>20866</v>
      </c>
      <c r="B75" t="s">
        <v>1071</v>
      </c>
      <c r="C75" t="s">
        <v>991</v>
      </c>
      <c r="D75">
        <v>15388</v>
      </c>
      <c r="E75">
        <f t="shared" si="1"/>
        <v>1520</v>
      </c>
      <c r="F7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663.2</v>
      </c>
      <c r="G7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828.18994052220376</v>
      </c>
      <c r="H75" s="28">
        <v>1365</v>
      </c>
      <c r="I75">
        <f>SUM(VLOOKUP(UninsuredTable[[#This Row],[ZIP code]],ModifiedBaseTable!B:R,11,0),VLOOKUP(UninsuredTable[[#This Row],[ZIP code]],ModifiedBaseTable!B:R,17,0))</f>
        <v>438</v>
      </c>
      <c r="J75" s="73">
        <f>UninsuredTable[[#This Row],[Alternate Adj Total Uninsured]]*(UninsuredTable[[#This Row],[Below 138% of FPL - No Health Insurance]]/UninsuredTable[[#This Row],[Total Uninsured Population]])</f>
        <v>238.64946970310871</v>
      </c>
      <c r="K75">
        <v>787</v>
      </c>
      <c r="L75">
        <v>124</v>
      </c>
      <c r="M75" s="73">
        <f>UninsuredTable[[#This Row],[Alternate Adj Total Uninsured]]*(UninsuredTable[[#This Row],[138% to 199% - No Health Insurance]]/UninsuredTable[[#This Row],[Total Uninsured Population]])</f>
        <v>67.562863568916626</v>
      </c>
      <c r="N75">
        <v>4810</v>
      </c>
      <c r="O75">
        <v>767</v>
      </c>
      <c r="P75" s="73">
        <f>UninsuredTable[[#This Row],[Alternate Adj Total Uninsured]]*(UninsuredTable[[#This Row],[200 to 399% of FPL - No Health Insurance]]/UninsuredTable[[#This Row],[Total Uninsured Population]])</f>
        <v>417.90900288192785</v>
      </c>
      <c r="Q75">
        <v>8426</v>
      </c>
      <c r="R75">
        <v>191</v>
      </c>
      <c r="S75" s="73">
        <f>UninsuredTable[[#This Row],[Alternate Adj Total Uninsured]]*(UninsuredTable[[#This Row],[400% FPL and over - No Health Insurance]]/UninsuredTable[[#This Row],[Total Uninsured Population]])</f>
        <v>104.0686043682506</v>
      </c>
    </row>
    <row r="76" spans="1:19" x14ac:dyDescent="0.3">
      <c r="A76">
        <v>20871</v>
      </c>
      <c r="B76" t="s">
        <v>1081</v>
      </c>
      <c r="C76" t="s">
        <v>991</v>
      </c>
      <c r="D76">
        <v>20296</v>
      </c>
      <c r="E76">
        <f t="shared" si="1"/>
        <v>985</v>
      </c>
      <c r="F7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985</v>
      </c>
      <c r="G7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985</v>
      </c>
      <c r="H76" s="28">
        <v>1423</v>
      </c>
      <c r="I76">
        <f>SUM(VLOOKUP(UninsuredTable[[#This Row],[ZIP code]],ModifiedBaseTable!B:R,11,0),VLOOKUP(UninsuredTable[[#This Row],[ZIP code]],ModifiedBaseTable!B:R,17,0))</f>
        <v>168</v>
      </c>
      <c r="J76" s="73">
        <f>UninsuredTable[[#This Row],[Alternate Adj Total Uninsured]]*(UninsuredTable[[#This Row],[Below 138% of FPL - No Health Insurance]]/UninsuredTable[[#This Row],[Total Uninsured Population]])</f>
        <v>168</v>
      </c>
      <c r="K76">
        <v>422</v>
      </c>
      <c r="L76">
        <v>49</v>
      </c>
      <c r="M76" s="73">
        <f>UninsuredTable[[#This Row],[Alternate Adj Total Uninsured]]*(UninsuredTable[[#This Row],[138% to 199% - No Health Insurance]]/UninsuredTable[[#This Row],[Total Uninsured Population]])</f>
        <v>49</v>
      </c>
      <c r="N76">
        <v>4617</v>
      </c>
      <c r="O76">
        <v>199</v>
      </c>
      <c r="P76" s="73">
        <f>UninsuredTable[[#This Row],[Alternate Adj Total Uninsured]]*(UninsuredTable[[#This Row],[200 to 399% of FPL - No Health Insurance]]/UninsuredTable[[#This Row],[Total Uninsured Population]])</f>
        <v>199</v>
      </c>
      <c r="Q76">
        <v>13834</v>
      </c>
      <c r="R76">
        <v>569</v>
      </c>
      <c r="S76" s="73">
        <f>UninsuredTable[[#This Row],[Alternate Adj Total Uninsured]]*(UninsuredTable[[#This Row],[400% FPL and over - No Health Insurance]]/UninsuredTable[[#This Row],[Total Uninsured Population]])</f>
        <v>569</v>
      </c>
    </row>
    <row r="77" spans="1:19" x14ac:dyDescent="0.3">
      <c r="A77">
        <v>20905</v>
      </c>
      <c r="B77" t="s">
        <v>990</v>
      </c>
      <c r="C77" t="s">
        <v>991</v>
      </c>
      <c r="D77">
        <v>18412</v>
      </c>
      <c r="E77">
        <f t="shared" si="1"/>
        <v>1302</v>
      </c>
      <c r="F7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573.6</v>
      </c>
      <c r="G7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713.28034038420992</v>
      </c>
      <c r="H77" s="28">
        <v>1623</v>
      </c>
      <c r="I77">
        <f>SUM(VLOOKUP(UninsuredTable[[#This Row],[ZIP code]],ModifiedBaseTable!B:R,11,0),VLOOKUP(UninsuredTable[[#This Row],[ZIP code]],ModifiedBaseTable!B:R,17,0))</f>
        <v>458</v>
      </c>
      <c r="J77" s="73">
        <f>UninsuredTable[[#This Row],[Alternate Adj Total Uninsured]]*(UninsuredTable[[#This Row],[Below 138% of FPL - No Health Insurance]]/UninsuredTable[[#This Row],[Total Uninsured Population]])</f>
        <v>250.90813816894635</v>
      </c>
      <c r="K77">
        <v>2006</v>
      </c>
      <c r="L77">
        <v>319</v>
      </c>
      <c r="M77" s="73">
        <f>UninsuredTable[[#This Row],[Alternate Adj Total Uninsured]]*(UninsuredTable[[#This Row],[138% to 199% - No Health Insurance]]/UninsuredTable[[#This Row],[Total Uninsured Population]])</f>
        <v>174.75916173775957</v>
      </c>
      <c r="N77">
        <v>3080</v>
      </c>
      <c r="O77">
        <v>124</v>
      </c>
      <c r="P77" s="73">
        <f>UninsuredTable[[#This Row],[Alternate Adj Total Uninsured]]*(UninsuredTable[[#This Row],[200 to 399% of FPL - No Health Insurance]]/UninsuredTable[[#This Row],[Total Uninsured Population]])</f>
        <v>67.931460988972376</v>
      </c>
      <c r="Q77">
        <v>11703</v>
      </c>
      <c r="R77">
        <v>401</v>
      </c>
      <c r="S77" s="73">
        <f>UninsuredTable[[#This Row],[Alternate Adj Total Uninsured]]*(UninsuredTable[[#This Row],[400% FPL and over - No Health Insurance]]/UninsuredTable[[#This Row],[Total Uninsured Population]])</f>
        <v>219.68157948853161</v>
      </c>
    </row>
    <row r="78" spans="1:19" x14ac:dyDescent="0.3">
      <c r="A78">
        <v>20895</v>
      </c>
      <c r="B78" t="s">
        <v>1072</v>
      </c>
      <c r="C78" t="s">
        <v>991</v>
      </c>
      <c r="D78">
        <v>19332</v>
      </c>
      <c r="E78">
        <f t="shared" si="1"/>
        <v>842</v>
      </c>
      <c r="F7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842</v>
      </c>
      <c r="G7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842</v>
      </c>
      <c r="H78" s="28">
        <v>1065</v>
      </c>
      <c r="I78">
        <f>SUM(VLOOKUP(UninsuredTable[[#This Row],[ZIP code]],ModifiedBaseTable!B:R,11,0),VLOOKUP(UninsuredTable[[#This Row],[ZIP code]],ModifiedBaseTable!B:R,17,0))</f>
        <v>106</v>
      </c>
      <c r="J78" s="73">
        <f>UninsuredTable[[#This Row],[Alternate Adj Total Uninsured]]*(UninsuredTable[[#This Row],[Below 138% of FPL - No Health Insurance]]/UninsuredTable[[#This Row],[Total Uninsured Population]])</f>
        <v>106</v>
      </c>
      <c r="K78">
        <v>891</v>
      </c>
      <c r="L78">
        <v>328</v>
      </c>
      <c r="M78" s="73">
        <f>UninsuredTable[[#This Row],[Alternate Adj Total Uninsured]]*(UninsuredTable[[#This Row],[138% to 199% - No Health Insurance]]/UninsuredTable[[#This Row],[Total Uninsured Population]])</f>
        <v>328</v>
      </c>
      <c r="N78">
        <v>2742</v>
      </c>
      <c r="O78">
        <v>165</v>
      </c>
      <c r="P78" s="73">
        <f>UninsuredTable[[#This Row],[Alternate Adj Total Uninsured]]*(UninsuredTable[[#This Row],[200 to 399% of FPL - No Health Insurance]]/UninsuredTable[[#This Row],[Total Uninsured Population]])</f>
        <v>165</v>
      </c>
      <c r="Q78">
        <v>14634</v>
      </c>
      <c r="R78">
        <v>243</v>
      </c>
      <c r="S78" s="73">
        <f>UninsuredTable[[#This Row],[Alternate Adj Total Uninsured]]*(UninsuredTable[[#This Row],[400% FPL and over - No Health Insurance]]/UninsuredTable[[#This Row],[Total Uninsured Population]])</f>
        <v>243.00000000000003</v>
      </c>
    </row>
    <row r="79" spans="1:19" x14ac:dyDescent="0.3">
      <c r="A79">
        <v>20855</v>
      </c>
      <c r="B79" t="s">
        <v>1080</v>
      </c>
      <c r="C79" t="s">
        <v>991</v>
      </c>
      <c r="D79">
        <v>14376</v>
      </c>
      <c r="E79">
        <f t="shared" si="1"/>
        <v>800</v>
      </c>
      <c r="F7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800</v>
      </c>
      <c r="G7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800</v>
      </c>
      <c r="H79" s="28">
        <v>995</v>
      </c>
      <c r="I79">
        <f>SUM(VLOOKUP(UninsuredTable[[#This Row],[ZIP code]],ModifiedBaseTable!B:R,11,0),VLOOKUP(UninsuredTable[[#This Row],[ZIP code]],ModifiedBaseTable!B:R,17,0))</f>
        <v>78</v>
      </c>
      <c r="J79" s="73">
        <f>UninsuredTable[[#This Row],[Alternate Adj Total Uninsured]]*(UninsuredTable[[#This Row],[Below 138% of FPL - No Health Insurance]]/UninsuredTable[[#This Row],[Total Uninsured Population]])</f>
        <v>78</v>
      </c>
      <c r="K79">
        <v>564</v>
      </c>
      <c r="L79">
        <v>296</v>
      </c>
      <c r="M79" s="73">
        <f>UninsuredTable[[#This Row],[Alternate Adj Total Uninsured]]*(UninsuredTable[[#This Row],[138% to 199% - No Health Insurance]]/UninsuredTable[[#This Row],[Total Uninsured Population]])</f>
        <v>296</v>
      </c>
      <c r="N79">
        <v>2348</v>
      </c>
      <c r="O79">
        <v>230</v>
      </c>
      <c r="P79" s="73">
        <f>UninsuredTable[[#This Row],[Alternate Adj Total Uninsured]]*(UninsuredTable[[#This Row],[200 to 399% of FPL - No Health Insurance]]/UninsuredTable[[#This Row],[Total Uninsured Population]])</f>
        <v>229.99999999999997</v>
      </c>
      <c r="Q79">
        <v>10469</v>
      </c>
      <c r="R79">
        <v>196</v>
      </c>
      <c r="S79" s="73">
        <f>UninsuredTable[[#This Row],[Alternate Adj Total Uninsured]]*(UninsuredTable[[#This Row],[400% FPL and over - No Health Insurance]]/UninsuredTable[[#This Row],[Total Uninsured Population]])</f>
        <v>196</v>
      </c>
    </row>
    <row r="80" spans="1:19" x14ac:dyDescent="0.3">
      <c r="A80">
        <v>20817</v>
      </c>
      <c r="B80" t="s">
        <v>1087</v>
      </c>
      <c r="C80" t="s">
        <v>991</v>
      </c>
      <c r="D80">
        <v>36932</v>
      </c>
      <c r="E80">
        <f t="shared" si="1"/>
        <v>773</v>
      </c>
      <c r="F8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773</v>
      </c>
      <c r="G8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773</v>
      </c>
      <c r="H80" s="28">
        <v>1332</v>
      </c>
      <c r="I80">
        <f>SUM(VLOOKUP(UninsuredTable[[#This Row],[ZIP code]],ModifiedBaseTable!B:R,11,0),VLOOKUP(UninsuredTable[[#This Row],[ZIP code]],ModifiedBaseTable!B:R,17,0))</f>
        <v>59</v>
      </c>
      <c r="J80" s="73">
        <f>UninsuredTable[[#This Row],[Alternate Adj Total Uninsured]]*(UninsuredTable[[#This Row],[Below 138% of FPL - No Health Insurance]]/UninsuredTable[[#This Row],[Total Uninsured Population]])</f>
        <v>59</v>
      </c>
      <c r="K80">
        <v>783</v>
      </c>
      <c r="L80">
        <v>35</v>
      </c>
      <c r="M80" s="73">
        <f>UninsuredTable[[#This Row],[Alternate Adj Total Uninsured]]*(UninsuredTable[[#This Row],[138% to 199% - No Health Insurance]]/UninsuredTable[[#This Row],[Total Uninsured Population]])</f>
        <v>35</v>
      </c>
      <c r="N80">
        <v>2993</v>
      </c>
      <c r="O80">
        <v>254</v>
      </c>
      <c r="P80" s="73">
        <f>UninsuredTable[[#This Row],[Alternate Adj Total Uninsured]]*(UninsuredTable[[#This Row],[200 to 399% of FPL - No Health Insurance]]/UninsuredTable[[#This Row],[Total Uninsured Population]])</f>
        <v>254</v>
      </c>
      <c r="Q80">
        <v>31824</v>
      </c>
      <c r="R80">
        <v>425</v>
      </c>
      <c r="S80" s="73">
        <f>UninsuredTable[[#This Row],[Alternate Adj Total Uninsured]]*(UninsuredTable[[#This Row],[400% FPL and over - No Health Insurance]]/UninsuredTable[[#This Row],[Total Uninsured Population]])</f>
        <v>425</v>
      </c>
    </row>
    <row r="81" spans="1:19" x14ac:dyDescent="0.3">
      <c r="A81">
        <v>20854</v>
      </c>
      <c r="B81" t="s">
        <v>1098</v>
      </c>
      <c r="C81" t="s">
        <v>991</v>
      </c>
      <c r="D81">
        <v>49076</v>
      </c>
      <c r="E81">
        <f t="shared" si="1"/>
        <v>1221</v>
      </c>
      <c r="F8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438.40000000000003</v>
      </c>
      <c r="G8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599.09208389499713</v>
      </c>
      <c r="H81" s="28">
        <v>1538</v>
      </c>
      <c r="I81">
        <f>SUM(VLOOKUP(UninsuredTable[[#This Row],[ZIP code]],ModifiedBaseTable!B:R,11,0),VLOOKUP(UninsuredTable[[#This Row],[ZIP code]],ModifiedBaseTable!B:R,17,0))</f>
        <v>64</v>
      </c>
      <c r="J81" s="73">
        <f>UninsuredTable[[#This Row],[Alternate Adj Total Uninsured]]*(UninsuredTable[[#This Row],[Below 138% of FPL - No Health Insurance]]/UninsuredTable[[#This Row],[Total Uninsured Population]])</f>
        <v>31.402042071482242</v>
      </c>
      <c r="K81">
        <v>956</v>
      </c>
      <c r="L81">
        <v>142</v>
      </c>
      <c r="M81" s="73">
        <f>UninsuredTable[[#This Row],[Alternate Adj Total Uninsured]]*(UninsuredTable[[#This Row],[138% to 199% - No Health Insurance]]/UninsuredTable[[#This Row],[Total Uninsured Population]])</f>
        <v>69.673280846101221</v>
      </c>
      <c r="N81">
        <v>3247</v>
      </c>
      <c r="O81">
        <v>203</v>
      </c>
      <c r="P81" s="73">
        <f>UninsuredTable[[#This Row],[Alternate Adj Total Uninsured]]*(UninsuredTable[[#This Row],[200 to 399% of FPL - No Health Insurance]]/UninsuredTable[[#This Row],[Total Uninsured Population]])</f>
        <v>99.603352195482728</v>
      </c>
      <c r="Q81">
        <v>43335</v>
      </c>
      <c r="R81">
        <v>812</v>
      </c>
      <c r="S81" s="73">
        <f>UninsuredTable[[#This Row],[Alternate Adj Total Uninsured]]*(UninsuredTable[[#This Row],[400% FPL and over - No Health Insurance]]/UninsuredTable[[#This Row],[Total Uninsured Population]])</f>
        <v>398.41340878193091</v>
      </c>
    </row>
    <row r="82" spans="1:19" x14ac:dyDescent="0.3">
      <c r="A82">
        <v>20815</v>
      </c>
      <c r="B82" t="s">
        <v>1104</v>
      </c>
      <c r="C82" t="s">
        <v>991</v>
      </c>
      <c r="D82">
        <v>30209</v>
      </c>
      <c r="E82">
        <f t="shared" si="1"/>
        <v>1105</v>
      </c>
      <c r="F8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557.6</v>
      </c>
      <c r="G8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655.0180835500131</v>
      </c>
      <c r="H82" s="28">
        <v>1668</v>
      </c>
      <c r="I82">
        <f>SUM(VLOOKUP(UninsuredTable[[#This Row],[ZIP code]],ModifiedBaseTable!B:R,11,0),VLOOKUP(UninsuredTable[[#This Row],[ZIP code]],ModifiedBaseTable!B:R,17,0))</f>
        <v>153</v>
      </c>
      <c r="J82" s="73">
        <f>UninsuredTable[[#This Row],[Alternate Adj Total Uninsured]]*(UninsuredTable[[#This Row],[Below 138% of FPL - No Health Insurance]]/UninsuredTable[[#This Row],[Total Uninsured Population]])</f>
        <v>90.694811568463351</v>
      </c>
      <c r="K82">
        <v>748</v>
      </c>
      <c r="L82">
        <v>121</v>
      </c>
      <c r="M82" s="73">
        <f>UninsuredTable[[#This Row],[Alternate Adj Total Uninsured]]*(UninsuredTable[[#This Row],[138% to 199% - No Health Insurance]]/UninsuredTable[[#This Row],[Total Uninsured Population]])</f>
        <v>71.725962090091926</v>
      </c>
      <c r="N82">
        <v>2582</v>
      </c>
      <c r="O82">
        <v>106</v>
      </c>
      <c r="P82" s="73">
        <f>UninsuredTable[[#This Row],[Alternate Adj Total Uninsured]]*(UninsuredTable[[#This Row],[200 to 399% of FPL - No Health Insurance]]/UninsuredTable[[#This Row],[Total Uninsured Population]])</f>
        <v>62.834313897105332</v>
      </c>
      <c r="Q82">
        <v>25211</v>
      </c>
      <c r="R82">
        <v>725</v>
      </c>
      <c r="S82" s="73">
        <f>UninsuredTable[[#This Row],[Alternate Adj Total Uninsured]]*(UninsuredTable[[#This Row],[400% FPL and over - No Health Insurance]]/UninsuredTable[[#This Row],[Total Uninsured Population]])</f>
        <v>429.76299599435248</v>
      </c>
    </row>
    <row r="83" spans="1:19" x14ac:dyDescent="0.3">
      <c r="A83">
        <v>20814</v>
      </c>
      <c r="B83" t="s">
        <v>1087</v>
      </c>
      <c r="C83" t="s">
        <v>991</v>
      </c>
      <c r="D83">
        <v>28096</v>
      </c>
      <c r="E83">
        <f t="shared" si="1"/>
        <v>592</v>
      </c>
      <c r="F8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592</v>
      </c>
      <c r="G8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592</v>
      </c>
      <c r="H83" s="28">
        <v>1572</v>
      </c>
      <c r="I83">
        <f>SUM(VLOOKUP(UninsuredTable[[#This Row],[ZIP code]],ModifiedBaseTable!B:R,11,0),VLOOKUP(UninsuredTable[[#This Row],[ZIP code]],ModifiedBaseTable!B:R,17,0))</f>
        <v>106</v>
      </c>
      <c r="J83" s="73">
        <f>UninsuredTable[[#This Row],[Alternate Adj Total Uninsured]]*(UninsuredTable[[#This Row],[Below 138% of FPL - No Health Insurance]]/UninsuredTable[[#This Row],[Total Uninsured Population]])</f>
        <v>106</v>
      </c>
      <c r="K83">
        <v>1022</v>
      </c>
      <c r="L83">
        <v>92</v>
      </c>
      <c r="M83" s="73">
        <f>UninsuredTable[[#This Row],[Alternate Adj Total Uninsured]]*(UninsuredTable[[#This Row],[138% to 199% - No Health Insurance]]/UninsuredTable[[#This Row],[Total Uninsured Population]])</f>
        <v>92</v>
      </c>
      <c r="N83">
        <v>3879</v>
      </c>
      <c r="O83">
        <v>123</v>
      </c>
      <c r="P83" s="73">
        <f>UninsuredTable[[#This Row],[Alternate Adj Total Uninsured]]*(UninsuredTable[[#This Row],[200 to 399% of FPL - No Health Insurance]]/UninsuredTable[[#This Row],[Total Uninsured Population]])</f>
        <v>122.99999999999999</v>
      </c>
      <c r="Q83">
        <v>21623</v>
      </c>
      <c r="R83">
        <v>271</v>
      </c>
      <c r="S83" s="73">
        <f>UninsuredTable[[#This Row],[Alternate Adj Total Uninsured]]*(UninsuredTable[[#This Row],[400% FPL and over - No Health Insurance]]/UninsuredTable[[#This Row],[Total Uninsured Population]])</f>
        <v>271</v>
      </c>
    </row>
    <row r="84" spans="1:19" x14ac:dyDescent="0.3">
      <c r="A84">
        <v>20832</v>
      </c>
      <c r="B84" t="s">
        <v>1101</v>
      </c>
      <c r="C84" t="s">
        <v>991</v>
      </c>
      <c r="D84">
        <v>26739</v>
      </c>
      <c r="E84">
        <f t="shared" si="1"/>
        <v>573</v>
      </c>
      <c r="F8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573</v>
      </c>
      <c r="G8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573</v>
      </c>
      <c r="H84" s="28">
        <v>1356</v>
      </c>
      <c r="I84">
        <f>SUM(VLOOKUP(UninsuredTable[[#This Row],[ZIP code]],ModifiedBaseTable!B:R,11,0),VLOOKUP(UninsuredTable[[#This Row],[ZIP code]],ModifiedBaseTable!B:R,17,0))</f>
        <v>15</v>
      </c>
      <c r="J84" s="73">
        <f>UninsuredTable[[#This Row],[Alternate Adj Total Uninsured]]*(UninsuredTable[[#This Row],[Below 138% of FPL - No Health Insurance]]/UninsuredTable[[#This Row],[Total Uninsured Population]])</f>
        <v>15</v>
      </c>
      <c r="K84">
        <v>891</v>
      </c>
      <c r="L84">
        <v>44</v>
      </c>
      <c r="M84" s="73">
        <f>UninsuredTable[[#This Row],[Alternate Adj Total Uninsured]]*(UninsuredTable[[#This Row],[138% to 199% - No Health Insurance]]/UninsuredTable[[#This Row],[Total Uninsured Population]])</f>
        <v>44</v>
      </c>
      <c r="N84">
        <v>4260</v>
      </c>
      <c r="O84">
        <v>287</v>
      </c>
      <c r="P84" s="73">
        <f>UninsuredTable[[#This Row],[Alternate Adj Total Uninsured]]*(UninsuredTable[[#This Row],[200 to 399% of FPL - No Health Insurance]]/UninsuredTable[[#This Row],[Total Uninsured Population]])</f>
        <v>287</v>
      </c>
      <c r="Q84">
        <v>20232</v>
      </c>
      <c r="R84">
        <v>227</v>
      </c>
      <c r="S84" s="73">
        <f>UninsuredTable[[#This Row],[Alternate Adj Total Uninsured]]*(UninsuredTable[[#This Row],[400% FPL and over - No Health Insurance]]/UninsuredTable[[#This Row],[Total Uninsured Population]])</f>
        <v>227</v>
      </c>
    </row>
    <row r="85" spans="1:19" x14ac:dyDescent="0.3">
      <c r="A85">
        <v>20882</v>
      </c>
      <c r="B85" t="s">
        <v>994</v>
      </c>
      <c r="C85" t="s">
        <v>991</v>
      </c>
      <c r="D85">
        <v>13238</v>
      </c>
      <c r="E85">
        <f t="shared" si="1"/>
        <v>402</v>
      </c>
      <c r="F8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402</v>
      </c>
      <c r="G8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402</v>
      </c>
      <c r="H85" s="28">
        <v>543</v>
      </c>
      <c r="I85">
        <f>SUM(VLOOKUP(UninsuredTable[[#This Row],[ZIP code]],ModifiedBaseTable!B:R,11,0),VLOOKUP(UninsuredTable[[#This Row],[ZIP code]],ModifiedBaseTable!B:R,17,0))</f>
        <v>48</v>
      </c>
      <c r="J85" s="73">
        <f>UninsuredTable[[#This Row],[Alternate Adj Total Uninsured]]*(UninsuredTable[[#This Row],[Below 138% of FPL - No Health Insurance]]/UninsuredTable[[#This Row],[Total Uninsured Population]])</f>
        <v>48</v>
      </c>
      <c r="K85">
        <v>449</v>
      </c>
      <c r="L85">
        <v>78</v>
      </c>
      <c r="M85" s="73">
        <f>UninsuredTable[[#This Row],[Alternate Adj Total Uninsured]]*(UninsuredTable[[#This Row],[138% to 199% - No Health Insurance]]/UninsuredTable[[#This Row],[Total Uninsured Population]])</f>
        <v>78</v>
      </c>
      <c r="N85">
        <v>2485</v>
      </c>
      <c r="O85">
        <v>153</v>
      </c>
      <c r="P85" s="73">
        <f>UninsuredTable[[#This Row],[Alternate Adj Total Uninsured]]*(UninsuredTable[[#This Row],[200 to 399% of FPL - No Health Insurance]]/UninsuredTable[[#This Row],[Total Uninsured Population]])</f>
        <v>153</v>
      </c>
      <c r="Q85">
        <v>9761</v>
      </c>
      <c r="R85">
        <v>123</v>
      </c>
      <c r="S85" s="73">
        <f>UninsuredTable[[#This Row],[Alternate Adj Total Uninsured]]*(UninsuredTable[[#This Row],[400% FPL and over - No Health Insurance]]/UninsuredTable[[#This Row],[Total Uninsured Population]])</f>
        <v>123</v>
      </c>
    </row>
    <row r="86" spans="1:19" x14ac:dyDescent="0.3">
      <c r="A86">
        <v>20872</v>
      </c>
      <c r="B86" t="s">
        <v>1139</v>
      </c>
      <c r="C86" t="s">
        <v>991</v>
      </c>
      <c r="D86">
        <v>13205</v>
      </c>
      <c r="E86">
        <f t="shared" si="1"/>
        <v>389</v>
      </c>
      <c r="F8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389</v>
      </c>
      <c r="G8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389</v>
      </c>
      <c r="H86" s="28">
        <v>1045</v>
      </c>
      <c r="I86">
        <f>SUM(VLOOKUP(UninsuredTable[[#This Row],[ZIP code]],ModifiedBaseTable!B:R,11,0),VLOOKUP(UninsuredTable[[#This Row],[ZIP code]],ModifiedBaseTable!B:R,17,0))</f>
        <v>84</v>
      </c>
      <c r="J86" s="73">
        <f>UninsuredTable[[#This Row],[Alternate Adj Total Uninsured]]*(UninsuredTable[[#This Row],[Below 138% of FPL - No Health Insurance]]/UninsuredTable[[#This Row],[Total Uninsured Population]])</f>
        <v>84</v>
      </c>
      <c r="K86">
        <v>723</v>
      </c>
      <c r="L86">
        <v>70</v>
      </c>
      <c r="M86" s="73">
        <f>UninsuredTable[[#This Row],[Alternate Adj Total Uninsured]]*(UninsuredTable[[#This Row],[138% to 199% - No Health Insurance]]/UninsuredTable[[#This Row],[Total Uninsured Population]])</f>
        <v>70</v>
      </c>
      <c r="N86">
        <v>2747</v>
      </c>
      <c r="O86">
        <v>100</v>
      </c>
      <c r="P86" s="73">
        <f>UninsuredTable[[#This Row],[Alternate Adj Total Uninsured]]*(UninsuredTable[[#This Row],[200 to 399% of FPL - No Health Insurance]]/UninsuredTable[[#This Row],[Total Uninsured Population]])</f>
        <v>100</v>
      </c>
      <c r="Q86">
        <v>8690</v>
      </c>
      <c r="R86">
        <v>135</v>
      </c>
      <c r="S86" s="73">
        <f>UninsuredTable[[#This Row],[Alternate Adj Total Uninsured]]*(UninsuredTable[[#This Row],[400% FPL and over - No Health Insurance]]/UninsuredTable[[#This Row],[Total Uninsured Population]])</f>
        <v>135</v>
      </c>
    </row>
    <row r="87" spans="1:19" x14ac:dyDescent="0.3">
      <c r="A87">
        <v>20833</v>
      </c>
      <c r="B87" t="s">
        <v>1180</v>
      </c>
      <c r="C87" t="s">
        <v>991</v>
      </c>
      <c r="D87">
        <v>7492</v>
      </c>
      <c r="E87">
        <f t="shared" si="1"/>
        <v>326</v>
      </c>
      <c r="F8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326</v>
      </c>
      <c r="G8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326</v>
      </c>
      <c r="H87" s="28">
        <v>237</v>
      </c>
      <c r="I87">
        <f>SUM(VLOOKUP(UninsuredTable[[#This Row],[ZIP code]],ModifiedBaseTable!B:R,11,0),VLOOKUP(UninsuredTable[[#This Row],[ZIP code]],ModifiedBaseTable!B:R,17,0))</f>
        <v>29</v>
      </c>
      <c r="J87" s="73">
        <f>UninsuredTable[[#This Row],[Alternate Adj Total Uninsured]]*(UninsuredTable[[#This Row],[Below 138% of FPL - No Health Insurance]]/UninsuredTable[[#This Row],[Total Uninsured Population]])</f>
        <v>29</v>
      </c>
      <c r="K87">
        <v>379</v>
      </c>
      <c r="L87">
        <v>58</v>
      </c>
      <c r="M87" s="73">
        <f>UninsuredTable[[#This Row],[Alternate Adj Total Uninsured]]*(UninsuredTable[[#This Row],[138% to 199% - No Health Insurance]]/UninsuredTable[[#This Row],[Total Uninsured Population]])</f>
        <v>58</v>
      </c>
      <c r="N87">
        <v>547</v>
      </c>
      <c r="O87">
        <v>20</v>
      </c>
      <c r="P87" s="73">
        <f>UninsuredTable[[#This Row],[Alternate Adj Total Uninsured]]*(UninsuredTable[[#This Row],[200 to 399% of FPL - No Health Insurance]]/UninsuredTable[[#This Row],[Total Uninsured Population]])</f>
        <v>20</v>
      </c>
      <c r="Q87">
        <v>6329</v>
      </c>
      <c r="R87">
        <v>219</v>
      </c>
      <c r="S87" s="73">
        <f>UninsuredTable[[#This Row],[Alternate Adj Total Uninsured]]*(UninsuredTable[[#This Row],[400% FPL and over - No Health Insurance]]/UninsuredTable[[#This Row],[Total Uninsured Population]])</f>
        <v>219</v>
      </c>
    </row>
    <row r="88" spans="1:19" x14ac:dyDescent="0.3">
      <c r="A88">
        <v>20841</v>
      </c>
      <c r="B88" t="s">
        <v>1113</v>
      </c>
      <c r="C88" t="s">
        <v>991</v>
      </c>
      <c r="D88">
        <v>10177</v>
      </c>
      <c r="E88">
        <f t="shared" si="1"/>
        <v>300</v>
      </c>
      <c r="F8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300</v>
      </c>
      <c r="G8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300</v>
      </c>
      <c r="H88" s="28">
        <v>571</v>
      </c>
      <c r="I88">
        <f>SUM(VLOOKUP(UninsuredTable[[#This Row],[ZIP code]],ModifiedBaseTable!B:R,11,0),VLOOKUP(UninsuredTable[[#This Row],[ZIP code]],ModifiedBaseTable!B:R,17,0))</f>
        <v>84</v>
      </c>
      <c r="J88" s="73">
        <f>UninsuredTable[[#This Row],[Alternate Adj Total Uninsured]]*(UninsuredTable[[#This Row],[Below 138% of FPL - No Health Insurance]]/UninsuredTable[[#This Row],[Total Uninsured Population]])</f>
        <v>84.000000000000014</v>
      </c>
      <c r="K88">
        <v>283</v>
      </c>
      <c r="L88">
        <v>20</v>
      </c>
      <c r="M88" s="73">
        <f>UninsuredTable[[#This Row],[Alternate Adj Total Uninsured]]*(UninsuredTable[[#This Row],[138% to 199% - No Health Insurance]]/UninsuredTable[[#This Row],[Total Uninsured Population]])</f>
        <v>20</v>
      </c>
      <c r="N88">
        <v>1787</v>
      </c>
      <c r="O88">
        <v>91</v>
      </c>
      <c r="P88" s="73">
        <f>UninsuredTable[[#This Row],[Alternate Adj Total Uninsured]]*(UninsuredTable[[#This Row],[200 to 399% of FPL - No Health Insurance]]/UninsuredTable[[#This Row],[Total Uninsured Population]])</f>
        <v>91</v>
      </c>
      <c r="Q88">
        <v>7536</v>
      </c>
      <c r="R88">
        <v>105</v>
      </c>
      <c r="S88" s="73">
        <f>UninsuredTable[[#This Row],[Alternate Adj Total Uninsured]]*(UninsuredTable[[#This Row],[400% FPL and over - No Health Insurance]]/UninsuredTable[[#This Row],[Total Uninsured Population]])</f>
        <v>105</v>
      </c>
    </row>
    <row r="89" spans="1:19" x14ac:dyDescent="0.3">
      <c r="A89">
        <v>21040</v>
      </c>
      <c r="B89" t="s">
        <v>1047</v>
      </c>
      <c r="C89" t="s">
        <v>1045</v>
      </c>
      <c r="D89">
        <v>24103</v>
      </c>
      <c r="E89">
        <f t="shared" si="1"/>
        <v>1503</v>
      </c>
      <c r="F8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1052</v>
      </c>
      <c r="G8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1096.8887247730452</v>
      </c>
      <c r="H89" s="28">
        <v>5763</v>
      </c>
      <c r="I89">
        <f>SUM(VLOOKUP(UninsuredTable[[#This Row],[ZIP code]],ModifiedBaseTable!B:R,11,0),VLOOKUP(UninsuredTable[[#This Row],[ZIP code]],ModifiedBaseTable!B:R,17,0))</f>
        <v>538</v>
      </c>
      <c r="J89" s="73">
        <f>UninsuredTable[[#This Row],[Alternate Adj Total Uninsured]]*(UninsuredTable[[#This Row],[Below 138% of FPL - No Health Insurance]]/UninsuredTable[[#This Row],[Total Uninsured Population]])</f>
        <v>392.63215830199488</v>
      </c>
      <c r="K89">
        <v>3253</v>
      </c>
      <c r="L89">
        <v>100</v>
      </c>
      <c r="M89" s="73">
        <f>UninsuredTable[[#This Row],[Alternate Adj Total Uninsured]]*(UninsuredTable[[#This Row],[138% to 199% - No Health Insurance]]/UninsuredTable[[#This Row],[Total Uninsured Population]])</f>
        <v>72.979955074720237</v>
      </c>
      <c r="N89">
        <v>7267</v>
      </c>
      <c r="O89">
        <v>584</v>
      </c>
      <c r="P89" s="73">
        <f>UninsuredTable[[#This Row],[Alternate Adj Total Uninsured]]*(UninsuredTable[[#This Row],[200 to 399% of FPL - No Health Insurance]]/UninsuredTable[[#This Row],[Total Uninsured Population]])</f>
        <v>426.20293763636619</v>
      </c>
      <c r="Q89">
        <v>7820</v>
      </c>
      <c r="R89">
        <v>281</v>
      </c>
      <c r="S89" s="73">
        <f>UninsuredTable[[#This Row],[Alternate Adj Total Uninsured]]*(UninsuredTable[[#This Row],[400% FPL and over - No Health Insurance]]/UninsuredTable[[#This Row],[Total Uninsured Population]])</f>
        <v>205.07367375996387</v>
      </c>
    </row>
    <row r="90" spans="1:19" x14ac:dyDescent="0.3">
      <c r="A90">
        <v>21001</v>
      </c>
      <c r="B90" t="s">
        <v>1044</v>
      </c>
      <c r="C90" t="s">
        <v>1045</v>
      </c>
      <c r="D90">
        <v>24279</v>
      </c>
      <c r="E90">
        <f t="shared" si="1"/>
        <v>1446</v>
      </c>
      <c r="F9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985.6</v>
      </c>
      <c r="G9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1036.6967399012324</v>
      </c>
      <c r="H90" s="28">
        <v>4932</v>
      </c>
      <c r="I90">
        <f>SUM(VLOOKUP(UninsuredTable[[#This Row],[ZIP code]],ModifiedBaseTable!B:R,11,0),VLOOKUP(UninsuredTable[[#This Row],[ZIP code]],ModifiedBaseTable!B:R,17,0))</f>
        <v>436</v>
      </c>
      <c r="J90" s="73">
        <f>UninsuredTable[[#This Row],[Alternate Adj Total Uninsured]]*(UninsuredTable[[#This Row],[Below 138% of FPL - No Health Insurance]]/UninsuredTable[[#This Row],[Total Uninsured Population]])</f>
        <v>312.58629225237712</v>
      </c>
      <c r="K90">
        <v>2412</v>
      </c>
      <c r="L90">
        <v>300</v>
      </c>
      <c r="M90" s="73">
        <f>UninsuredTable[[#This Row],[Alternate Adj Total Uninsured]]*(UninsuredTable[[#This Row],[138% to 199% - No Health Insurance]]/UninsuredTable[[#This Row],[Total Uninsured Population]])</f>
        <v>215.08231118282831</v>
      </c>
      <c r="N90">
        <v>7504</v>
      </c>
      <c r="O90">
        <v>503</v>
      </c>
      <c r="P90" s="73">
        <f>UninsuredTable[[#This Row],[Alternate Adj Total Uninsured]]*(UninsuredTable[[#This Row],[200 to 399% of FPL - No Health Insurance]]/UninsuredTable[[#This Row],[Total Uninsured Population]])</f>
        <v>360.6213417498754</v>
      </c>
      <c r="Q90">
        <v>9431</v>
      </c>
      <c r="R90">
        <v>207</v>
      </c>
      <c r="S90" s="73">
        <f>UninsuredTable[[#This Row],[Alternate Adj Total Uninsured]]*(UninsuredTable[[#This Row],[400% FPL and over - No Health Insurance]]/UninsuredTable[[#This Row],[Total Uninsured Population]])</f>
        <v>148.40679471615152</v>
      </c>
    </row>
    <row r="91" spans="1:19" x14ac:dyDescent="0.3">
      <c r="A91">
        <v>21012</v>
      </c>
      <c r="B91" t="s">
        <v>1075</v>
      </c>
      <c r="C91" t="s">
        <v>996</v>
      </c>
      <c r="D91">
        <v>20995</v>
      </c>
      <c r="E91">
        <f t="shared" si="1"/>
        <v>827</v>
      </c>
      <c r="F9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827</v>
      </c>
      <c r="G9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827</v>
      </c>
      <c r="H91" s="28">
        <v>1196</v>
      </c>
      <c r="I91">
        <f>SUM(VLOOKUP(UninsuredTable[[#This Row],[ZIP code]],ModifiedBaseTable!B:R,11,0),VLOOKUP(UninsuredTable[[#This Row],[ZIP code]],ModifiedBaseTable!B:R,17,0))</f>
        <v>228</v>
      </c>
      <c r="J91" s="73">
        <f>UninsuredTable[[#This Row],[Alternate Adj Total Uninsured]]*(UninsuredTable[[#This Row],[Below 138% of FPL - No Health Insurance]]/UninsuredTable[[#This Row],[Total Uninsured Population]])</f>
        <v>228.00000000000003</v>
      </c>
      <c r="K91">
        <v>930</v>
      </c>
      <c r="L91">
        <v>66</v>
      </c>
      <c r="M91" s="73">
        <f>UninsuredTable[[#This Row],[Alternate Adj Total Uninsured]]*(UninsuredTable[[#This Row],[138% to 199% - No Health Insurance]]/UninsuredTable[[#This Row],[Total Uninsured Population]])</f>
        <v>66</v>
      </c>
      <c r="N91">
        <v>4376</v>
      </c>
      <c r="O91">
        <v>296</v>
      </c>
      <c r="P91" s="73">
        <f>UninsuredTable[[#This Row],[Alternate Adj Total Uninsured]]*(UninsuredTable[[#This Row],[200 to 399% of FPL - No Health Insurance]]/UninsuredTable[[#This Row],[Total Uninsured Population]])</f>
        <v>296</v>
      </c>
      <c r="Q91">
        <v>14493</v>
      </c>
      <c r="R91">
        <v>237</v>
      </c>
      <c r="S91" s="73">
        <f>UninsuredTable[[#This Row],[Alternate Adj Total Uninsured]]*(UninsuredTable[[#This Row],[400% FPL and over - No Health Insurance]]/UninsuredTable[[#This Row],[Total Uninsured Population]])</f>
        <v>237</v>
      </c>
    </row>
    <row r="92" spans="1:19" x14ac:dyDescent="0.3">
      <c r="A92">
        <v>21009</v>
      </c>
      <c r="B92" t="s">
        <v>1085</v>
      </c>
      <c r="C92" t="s">
        <v>1045</v>
      </c>
      <c r="D92">
        <v>29624</v>
      </c>
      <c r="E92">
        <f t="shared" si="1"/>
        <v>1265</v>
      </c>
      <c r="F9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761.6</v>
      </c>
      <c r="G9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836.33495135086787</v>
      </c>
      <c r="H92" s="28">
        <v>2854</v>
      </c>
      <c r="I92">
        <f>SUM(VLOOKUP(UninsuredTable[[#This Row],[ZIP code]],ModifiedBaseTable!B:R,11,0),VLOOKUP(UninsuredTable[[#This Row],[ZIP code]],ModifiedBaseTable!B:R,17,0))</f>
        <v>187</v>
      </c>
      <c r="J92" s="73">
        <f>UninsuredTable[[#This Row],[Alternate Adj Total Uninsured]]*(UninsuredTable[[#This Row],[Below 138% of FPL - No Health Insurance]]/UninsuredTable[[#This Row],[Total Uninsured Population]])</f>
        <v>123.63212324317178</v>
      </c>
      <c r="K92">
        <v>1643</v>
      </c>
      <c r="L92">
        <v>188</v>
      </c>
      <c r="M92" s="73">
        <f>UninsuredTable[[#This Row],[Alternate Adj Total Uninsured]]*(UninsuredTable[[#This Row],[138% to 199% - No Health Insurance]]/UninsuredTable[[#This Row],[Total Uninsured Population]])</f>
        <v>124.29325759206574</v>
      </c>
      <c r="N92">
        <v>7771</v>
      </c>
      <c r="O92">
        <v>508</v>
      </c>
      <c r="P92" s="73">
        <f>UninsuredTable[[#This Row],[Alternate Adj Total Uninsured]]*(UninsuredTable[[#This Row],[200 to 399% of FPL - No Health Insurance]]/UninsuredTable[[#This Row],[Total Uninsured Population]])</f>
        <v>335.85624923813509</v>
      </c>
      <c r="Q92">
        <v>17356</v>
      </c>
      <c r="R92">
        <v>382</v>
      </c>
      <c r="S92" s="73">
        <f>UninsuredTable[[#This Row],[Alternate Adj Total Uninsured]]*(UninsuredTable[[#This Row],[400% FPL and over - No Health Insurance]]/UninsuredTable[[#This Row],[Total Uninsured Population]])</f>
        <v>252.55332127749526</v>
      </c>
    </row>
    <row r="93" spans="1:19" x14ac:dyDescent="0.3">
      <c r="A93">
        <v>21015</v>
      </c>
      <c r="B93" t="s">
        <v>1073</v>
      </c>
      <c r="C93" t="s">
        <v>1045</v>
      </c>
      <c r="D93">
        <v>28726</v>
      </c>
      <c r="E93">
        <f t="shared" si="1"/>
        <v>842</v>
      </c>
      <c r="F9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842</v>
      </c>
      <c r="G9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842</v>
      </c>
      <c r="H93" s="28">
        <v>1605</v>
      </c>
      <c r="I93">
        <f>SUM(VLOOKUP(UninsuredTable[[#This Row],[ZIP code]],ModifiedBaseTable!B:R,11,0),VLOOKUP(UninsuredTable[[#This Row],[ZIP code]],ModifiedBaseTable!B:R,17,0))</f>
        <v>163</v>
      </c>
      <c r="J93" s="73">
        <f>UninsuredTable[[#This Row],[Alternate Adj Total Uninsured]]*(UninsuredTable[[#This Row],[Below 138% of FPL - No Health Insurance]]/UninsuredTable[[#This Row],[Total Uninsured Population]])</f>
        <v>163</v>
      </c>
      <c r="K93">
        <v>1023</v>
      </c>
      <c r="L93">
        <v>0</v>
      </c>
      <c r="M93" s="73">
        <f>UninsuredTable[[#This Row],[Alternate Adj Total Uninsured]]*(UninsuredTable[[#This Row],[138% to 199% - No Health Insurance]]/UninsuredTable[[#This Row],[Total Uninsured Population]])</f>
        <v>0</v>
      </c>
      <c r="N93">
        <v>6802</v>
      </c>
      <c r="O93">
        <v>483</v>
      </c>
      <c r="P93" s="73">
        <f>UninsuredTable[[#This Row],[Alternate Adj Total Uninsured]]*(UninsuredTable[[#This Row],[200 to 399% of FPL - No Health Insurance]]/UninsuredTable[[#This Row],[Total Uninsured Population]])</f>
        <v>483</v>
      </c>
      <c r="Q93">
        <v>19296</v>
      </c>
      <c r="R93">
        <v>196</v>
      </c>
      <c r="S93" s="73">
        <f>UninsuredTable[[#This Row],[Alternate Adj Total Uninsured]]*(UninsuredTable[[#This Row],[400% FPL and over - No Health Insurance]]/UninsuredTable[[#This Row],[Total Uninsured Population]])</f>
        <v>196</v>
      </c>
    </row>
    <row r="94" spans="1:19" x14ac:dyDescent="0.3">
      <c r="A94">
        <v>21014</v>
      </c>
      <c r="B94" t="s">
        <v>1073</v>
      </c>
      <c r="C94" t="s">
        <v>1045</v>
      </c>
      <c r="D94">
        <v>34894</v>
      </c>
      <c r="E94">
        <f t="shared" si="1"/>
        <v>1103</v>
      </c>
      <c r="F9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728.80000000000007</v>
      </c>
      <c r="G9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774.64380402353561</v>
      </c>
      <c r="H94" s="28">
        <v>2739</v>
      </c>
      <c r="I94">
        <f>SUM(VLOOKUP(UninsuredTable[[#This Row],[ZIP code]],ModifiedBaseTable!B:R,11,0),VLOOKUP(UninsuredTable[[#This Row],[ZIP code]],ModifiedBaseTable!B:R,17,0))</f>
        <v>216</v>
      </c>
      <c r="J94" s="73">
        <f>UninsuredTable[[#This Row],[Alternate Adj Total Uninsured]]*(UninsuredTable[[#This Row],[Below 138% of FPL - No Health Insurance]]/UninsuredTable[[#This Row],[Total Uninsured Population]])</f>
        <v>151.69815201186191</v>
      </c>
      <c r="K94">
        <v>1649</v>
      </c>
      <c r="L94">
        <v>174</v>
      </c>
      <c r="M94" s="73">
        <f>UninsuredTable[[#This Row],[Alternate Adj Total Uninsured]]*(UninsuredTable[[#This Row],[138% to 199% - No Health Insurance]]/UninsuredTable[[#This Row],[Total Uninsured Population]])</f>
        <v>122.20128912066654</v>
      </c>
      <c r="N94">
        <v>8811</v>
      </c>
      <c r="O94">
        <v>267</v>
      </c>
      <c r="P94" s="73">
        <f>UninsuredTable[[#This Row],[Alternate Adj Total Uninsured]]*(UninsuredTable[[#This Row],[200 to 399% of FPL - No Health Insurance]]/UninsuredTable[[#This Row],[Total Uninsured Population]])</f>
        <v>187.51577123688486</v>
      </c>
      <c r="Q94">
        <v>21695</v>
      </c>
      <c r="R94">
        <v>446</v>
      </c>
      <c r="S94" s="73">
        <f>UninsuredTable[[#This Row],[Alternate Adj Total Uninsured]]*(UninsuredTable[[#This Row],[400% FPL and over - No Health Insurance]]/UninsuredTable[[#This Row],[Total Uninsured Population]])</f>
        <v>313.22859165412228</v>
      </c>
    </row>
    <row r="95" spans="1:19" x14ac:dyDescent="0.3">
      <c r="A95">
        <v>21075</v>
      </c>
      <c r="B95" t="s">
        <v>1039</v>
      </c>
      <c r="C95" t="s">
        <v>1038</v>
      </c>
      <c r="D95">
        <v>30930</v>
      </c>
      <c r="E95">
        <f t="shared" si="1"/>
        <v>2023</v>
      </c>
      <c r="F9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899.2</v>
      </c>
      <c r="G9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1113.8540615477004</v>
      </c>
      <c r="H95" s="28">
        <v>2626</v>
      </c>
      <c r="I95">
        <f>SUM(VLOOKUP(UninsuredTable[[#This Row],[ZIP code]],ModifiedBaseTable!B:R,11,0),VLOOKUP(UninsuredTable[[#This Row],[ZIP code]],ModifiedBaseTable!B:R,17,0))</f>
        <v>697</v>
      </c>
      <c r="J95" s="73">
        <f>UninsuredTable[[#This Row],[Alternate Adj Total Uninsured]]*(UninsuredTable[[#This Row],[Below 138% of FPL - No Health Insurance]]/UninsuredTable[[#This Row],[Total Uninsured Population]])</f>
        <v>383.76484473492201</v>
      </c>
      <c r="K95">
        <v>2275</v>
      </c>
      <c r="L95">
        <v>254</v>
      </c>
      <c r="M95" s="73">
        <f>UninsuredTable[[#This Row],[Alternate Adj Total Uninsured]]*(UninsuredTable[[#This Row],[138% to 199% - No Health Insurance]]/UninsuredTable[[#This Row],[Total Uninsured Population]])</f>
        <v>139.85117727786255</v>
      </c>
      <c r="N95">
        <v>7292</v>
      </c>
      <c r="O95">
        <v>485</v>
      </c>
      <c r="P95" s="73">
        <f>UninsuredTable[[#This Row],[Alternate Adj Total Uninsured]]*(UninsuredTable[[#This Row],[200 to 399% of FPL - No Health Insurance]]/UninsuredTable[[#This Row],[Total Uninsured Population]])</f>
        <v>267.0386652746588</v>
      </c>
      <c r="Q95">
        <v>18737</v>
      </c>
      <c r="R95">
        <v>587</v>
      </c>
      <c r="S95" s="73">
        <f>UninsuredTable[[#This Row],[Alternate Adj Total Uninsured]]*(UninsuredTable[[#This Row],[400% FPL and over - No Health Insurance]]/UninsuredTable[[#This Row],[Total Uninsured Population]])</f>
        <v>323.19937426025717</v>
      </c>
    </row>
    <row r="96" spans="1:19" x14ac:dyDescent="0.3">
      <c r="A96">
        <v>21030</v>
      </c>
      <c r="B96" t="s">
        <v>1048</v>
      </c>
      <c r="C96" t="s">
        <v>992</v>
      </c>
      <c r="D96">
        <v>24326</v>
      </c>
      <c r="E96">
        <f t="shared" si="1"/>
        <v>2407</v>
      </c>
      <c r="F9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921.6</v>
      </c>
      <c r="G9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1221.2561148413395</v>
      </c>
      <c r="H96" s="28">
        <v>3230</v>
      </c>
      <c r="I96">
        <f>SUM(VLOOKUP(UninsuredTable[[#This Row],[ZIP code]],ModifiedBaseTable!B:R,11,0),VLOOKUP(UninsuredTable[[#This Row],[ZIP code]],ModifiedBaseTable!B:R,17,0))</f>
        <v>786</v>
      </c>
      <c r="J96" s="73">
        <f>UninsuredTable[[#This Row],[Alternate Adj Total Uninsured]]*(UninsuredTable[[#This Row],[Below 138% of FPL - No Health Insurance]]/UninsuredTable[[#This Row],[Total Uninsured Population]])</f>
        <v>398.79821614677724</v>
      </c>
      <c r="K96">
        <v>2676</v>
      </c>
      <c r="L96">
        <v>408</v>
      </c>
      <c r="M96" s="73">
        <f>UninsuredTable[[#This Row],[Alternate Adj Total Uninsured]]*(UninsuredTable[[#This Row],[138% to 199% - No Health Insurance]]/UninsuredTable[[#This Row],[Total Uninsured Population]])</f>
        <v>207.00976105328897</v>
      </c>
      <c r="N96">
        <v>6279</v>
      </c>
      <c r="O96">
        <v>702</v>
      </c>
      <c r="P96" s="73">
        <f>UninsuredTable[[#This Row],[Alternate Adj Total Uninsured]]*(UninsuredTable[[#This Row],[200 to 399% of FPL - No Health Insurance]]/UninsuredTable[[#This Row],[Total Uninsured Population]])</f>
        <v>356.17855945933542</v>
      </c>
      <c r="Q96">
        <v>12141</v>
      </c>
      <c r="R96">
        <v>511</v>
      </c>
      <c r="S96" s="73">
        <f>UninsuredTable[[#This Row],[Alternate Adj Total Uninsured]]*(UninsuredTable[[#This Row],[400% FPL and over - No Health Insurance]]/UninsuredTable[[#This Row],[Total Uninsured Population]])</f>
        <v>259.2695781819379</v>
      </c>
    </row>
    <row r="97" spans="1:19" x14ac:dyDescent="0.3">
      <c r="A97">
        <v>21032</v>
      </c>
      <c r="B97" t="s">
        <v>1157</v>
      </c>
      <c r="C97" t="s">
        <v>996</v>
      </c>
      <c r="D97">
        <v>8597</v>
      </c>
      <c r="E97">
        <f t="shared" si="1"/>
        <v>308</v>
      </c>
      <c r="F9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308</v>
      </c>
      <c r="G9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308</v>
      </c>
      <c r="H97" s="28">
        <v>741</v>
      </c>
      <c r="I97">
        <f>SUM(VLOOKUP(UninsuredTable[[#This Row],[ZIP code]],ModifiedBaseTable!B:R,11,0),VLOOKUP(UninsuredTable[[#This Row],[ZIP code]],ModifiedBaseTable!B:R,17,0))</f>
        <v>114</v>
      </c>
      <c r="J97" s="73">
        <f>UninsuredTable[[#This Row],[Alternate Adj Total Uninsured]]*(UninsuredTable[[#This Row],[Below 138% of FPL - No Health Insurance]]/UninsuredTable[[#This Row],[Total Uninsured Population]])</f>
        <v>114</v>
      </c>
      <c r="K97">
        <v>521</v>
      </c>
      <c r="L97">
        <v>26</v>
      </c>
      <c r="M97" s="73">
        <f>UninsuredTable[[#This Row],[Alternate Adj Total Uninsured]]*(UninsuredTable[[#This Row],[138% to 199% - No Health Insurance]]/UninsuredTable[[#This Row],[Total Uninsured Population]])</f>
        <v>26</v>
      </c>
      <c r="N97">
        <v>1246</v>
      </c>
      <c r="O97">
        <v>58</v>
      </c>
      <c r="P97" s="73">
        <f>UninsuredTable[[#This Row],[Alternate Adj Total Uninsured]]*(UninsuredTable[[#This Row],[200 to 399% of FPL - No Health Insurance]]/UninsuredTable[[#This Row],[Total Uninsured Population]])</f>
        <v>58</v>
      </c>
      <c r="Q97">
        <v>6089</v>
      </c>
      <c r="R97">
        <v>110</v>
      </c>
      <c r="S97" s="73">
        <f>UninsuredTable[[#This Row],[Alternate Adj Total Uninsured]]*(UninsuredTable[[#This Row],[400% FPL and over - No Health Insurance]]/UninsuredTable[[#This Row],[Total Uninsured Population]])</f>
        <v>110</v>
      </c>
    </row>
    <row r="98" spans="1:19" x14ac:dyDescent="0.3">
      <c r="A98">
        <v>21037</v>
      </c>
      <c r="B98" t="s">
        <v>1083</v>
      </c>
      <c r="C98" t="s">
        <v>996</v>
      </c>
      <c r="D98">
        <v>21896</v>
      </c>
      <c r="E98">
        <f t="shared" si="1"/>
        <v>1269</v>
      </c>
      <c r="F9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548.80000000000007</v>
      </c>
      <c r="G9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688.0028007589649</v>
      </c>
      <c r="H98" s="28">
        <v>1228</v>
      </c>
      <c r="I98">
        <f>SUM(VLOOKUP(UninsuredTable[[#This Row],[ZIP code]],ModifiedBaseTable!B:R,11,0),VLOOKUP(UninsuredTable[[#This Row],[ZIP code]],ModifiedBaseTable!B:R,17,0))</f>
        <v>73</v>
      </c>
      <c r="J98" s="73">
        <f>UninsuredTable[[#This Row],[Alternate Adj Total Uninsured]]*(UninsuredTable[[#This Row],[Below 138% of FPL - No Health Insurance]]/UninsuredTable[[#This Row],[Total Uninsured Population]])</f>
        <v>39.577781288734784</v>
      </c>
      <c r="K98">
        <v>1217</v>
      </c>
      <c r="L98">
        <v>215</v>
      </c>
      <c r="M98" s="73">
        <f>UninsuredTable[[#This Row],[Alternate Adj Total Uninsured]]*(UninsuredTable[[#This Row],[138% to 199% - No Health Insurance]]/UninsuredTable[[#This Row],[Total Uninsured Population]])</f>
        <v>116.56469831613668</v>
      </c>
      <c r="N98">
        <v>4571</v>
      </c>
      <c r="O98">
        <v>654</v>
      </c>
      <c r="P98" s="73">
        <f>UninsuredTable[[#This Row],[Alternate Adj Total Uninsured]]*(UninsuredTable[[#This Row],[200 to 399% of FPL - No Health Insurance]]/UninsuredTable[[#This Row],[Total Uninsured Population]])</f>
        <v>354.57354743606226</v>
      </c>
      <c r="Q98">
        <v>14880</v>
      </c>
      <c r="R98">
        <v>327</v>
      </c>
      <c r="S98" s="73">
        <f>UninsuredTable[[#This Row],[Alternate Adj Total Uninsured]]*(UninsuredTable[[#This Row],[400% FPL and over - No Health Insurance]]/UninsuredTable[[#This Row],[Total Uninsured Population]])</f>
        <v>177.28677371803113</v>
      </c>
    </row>
    <row r="99" spans="1:19" x14ac:dyDescent="0.3">
      <c r="A99">
        <v>21085</v>
      </c>
      <c r="B99" t="s">
        <v>1109</v>
      </c>
      <c r="C99" t="s">
        <v>1045</v>
      </c>
      <c r="D99">
        <v>16116</v>
      </c>
      <c r="E99">
        <f t="shared" si="1"/>
        <v>584</v>
      </c>
      <c r="F9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584</v>
      </c>
      <c r="G9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584</v>
      </c>
      <c r="H99" s="28">
        <v>1784</v>
      </c>
      <c r="I99">
        <f>SUM(VLOOKUP(UninsuredTable[[#This Row],[ZIP code]],ModifiedBaseTable!B:R,11,0),VLOOKUP(UninsuredTable[[#This Row],[ZIP code]],ModifiedBaseTable!B:R,17,0))</f>
        <v>266</v>
      </c>
      <c r="J99" s="73">
        <f>UninsuredTable[[#This Row],[Alternate Adj Total Uninsured]]*(UninsuredTable[[#This Row],[Below 138% of FPL - No Health Insurance]]/UninsuredTable[[#This Row],[Total Uninsured Population]])</f>
        <v>266</v>
      </c>
      <c r="K99">
        <v>1265</v>
      </c>
      <c r="L99">
        <v>11</v>
      </c>
      <c r="M99" s="73">
        <f>UninsuredTable[[#This Row],[Alternate Adj Total Uninsured]]*(UninsuredTable[[#This Row],[138% to 199% - No Health Insurance]]/UninsuredTable[[#This Row],[Total Uninsured Population]])</f>
        <v>11</v>
      </c>
      <c r="N99">
        <v>4927</v>
      </c>
      <c r="O99">
        <v>168</v>
      </c>
      <c r="P99" s="73">
        <f>UninsuredTable[[#This Row],[Alternate Adj Total Uninsured]]*(UninsuredTable[[#This Row],[200 to 399% of FPL - No Health Insurance]]/UninsuredTable[[#This Row],[Total Uninsured Population]])</f>
        <v>168</v>
      </c>
      <c r="Q99">
        <v>8140</v>
      </c>
      <c r="R99">
        <v>139</v>
      </c>
      <c r="S99" s="73">
        <f>UninsuredTable[[#This Row],[Alternate Adj Total Uninsured]]*(UninsuredTable[[#This Row],[400% FPL and over - No Health Insurance]]/UninsuredTable[[#This Row],[Total Uninsured Population]])</f>
        <v>139</v>
      </c>
    </row>
    <row r="100" spans="1:19" x14ac:dyDescent="0.3">
      <c r="A100">
        <v>21043</v>
      </c>
      <c r="B100" t="s">
        <v>1051</v>
      </c>
      <c r="C100" t="s">
        <v>1038</v>
      </c>
      <c r="D100">
        <v>46925</v>
      </c>
      <c r="E100">
        <f t="shared" si="1"/>
        <v>1854</v>
      </c>
      <c r="F10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737.6</v>
      </c>
      <c r="G10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960.13346536424569</v>
      </c>
      <c r="H100" s="28">
        <v>3294</v>
      </c>
      <c r="I100">
        <f>SUM(VLOOKUP(UninsuredTable[[#This Row],[ZIP code]],ModifiedBaseTable!B:R,11,0),VLOOKUP(UninsuredTable[[#This Row],[ZIP code]],ModifiedBaseTable!B:R,17,0))</f>
        <v>268</v>
      </c>
      <c r="J100" s="73">
        <f>UninsuredTable[[#This Row],[Alternate Adj Total Uninsured]]*(UninsuredTable[[#This Row],[Below 138% of FPL - No Health Insurance]]/UninsuredTable[[#This Row],[Total Uninsured Population]])</f>
        <v>138.78951926516604</v>
      </c>
      <c r="K100">
        <v>2637</v>
      </c>
      <c r="L100">
        <v>377</v>
      </c>
      <c r="M100" s="73">
        <f>UninsuredTable[[#This Row],[Alternate Adj Total Uninsured]]*(UninsuredTable[[#This Row],[138% to 199% - No Health Insurance]]/UninsuredTable[[#This Row],[Total Uninsured Population]])</f>
        <v>195.23749538420748</v>
      </c>
      <c r="N100">
        <v>8095</v>
      </c>
      <c r="O100">
        <v>517</v>
      </c>
      <c r="P100" s="73">
        <f>UninsuredTable[[#This Row],[Alternate Adj Total Uninsured]]*(UninsuredTable[[#This Row],[200 to 399% of FPL - No Health Insurance]]/UninsuredTable[[#This Row],[Total Uninsured Population]])</f>
        <v>267.73948306004047</v>
      </c>
      <c r="Q100">
        <v>32899</v>
      </c>
      <c r="R100">
        <v>692</v>
      </c>
      <c r="S100" s="73">
        <f>UninsuredTable[[#This Row],[Alternate Adj Total Uninsured]]*(UninsuredTable[[#This Row],[400% FPL and over - No Health Insurance]]/UninsuredTable[[#This Row],[Total Uninsured Population]])</f>
        <v>358.36696765483174</v>
      </c>
    </row>
    <row r="101" spans="1:19" x14ac:dyDescent="0.3">
      <c r="A101">
        <v>21045</v>
      </c>
      <c r="B101" t="s">
        <v>1043</v>
      </c>
      <c r="C101" t="s">
        <v>1038</v>
      </c>
      <c r="D101">
        <v>39374</v>
      </c>
      <c r="E101">
        <f t="shared" si="1"/>
        <v>1738</v>
      </c>
      <c r="F10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740.80000000000007</v>
      </c>
      <c r="G10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934.68108784953586</v>
      </c>
      <c r="H101" s="28">
        <v>4270</v>
      </c>
      <c r="I101">
        <f>SUM(VLOOKUP(UninsuredTable[[#This Row],[ZIP code]],ModifiedBaseTable!B:R,11,0),VLOOKUP(UninsuredTable[[#This Row],[ZIP code]],ModifiedBaseTable!B:R,17,0))</f>
        <v>519</v>
      </c>
      <c r="J101" s="73">
        <f>UninsuredTable[[#This Row],[Alternate Adj Total Uninsured]]*(UninsuredTable[[#This Row],[Below 138% of FPL - No Health Insurance]]/UninsuredTable[[#This Row],[Total Uninsured Population]])</f>
        <v>279.11362749937229</v>
      </c>
      <c r="K101">
        <v>1936</v>
      </c>
      <c r="L101">
        <v>194</v>
      </c>
      <c r="M101" s="73">
        <f>UninsuredTable[[#This Row],[Alternate Adj Total Uninsured]]*(UninsuredTable[[#This Row],[138% to 199% - No Health Insurance]]/UninsuredTable[[#This Row],[Total Uninsured Population]])</f>
        <v>104.33149081864784</v>
      </c>
      <c r="N101">
        <v>10060</v>
      </c>
      <c r="O101">
        <v>417</v>
      </c>
      <c r="P101" s="73">
        <f>UninsuredTable[[#This Row],[Alternate Adj Total Uninsured]]*(UninsuredTable[[#This Row],[200 to 399% of FPL - No Health Insurance]]/UninsuredTable[[#This Row],[Total Uninsured Population]])</f>
        <v>224.25892614111419</v>
      </c>
      <c r="Q101">
        <v>23108</v>
      </c>
      <c r="R101">
        <v>608</v>
      </c>
      <c r="S101" s="73">
        <f>UninsuredTable[[#This Row],[Alternate Adj Total Uninsured]]*(UninsuredTable[[#This Row],[400% FPL and over - No Health Insurance]]/UninsuredTable[[#This Row],[Total Uninsured Population]])</f>
        <v>326.97704339040149</v>
      </c>
    </row>
    <row r="102" spans="1:19" x14ac:dyDescent="0.3">
      <c r="A102">
        <v>21042</v>
      </c>
      <c r="B102" t="s">
        <v>1051</v>
      </c>
      <c r="C102" t="s">
        <v>1038</v>
      </c>
      <c r="D102">
        <v>40115</v>
      </c>
      <c r="E102">
        <f t="shared" si="1"/>
        <v>1287</v>
      </c>
      <c r="F10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860</v>
      </c>
      <c r="G10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910.61920027598717</v>
      </c>
      <c r="H102" s="28">
        <v>1582</v>
      </c>
      <c r="I102">
        <f>SUM(VLOOKUP(UninsuredTable[[#This Row],[ZIP code]],ModifiedBaseTable!B:R,11,0),VLOOKUP(UninsuredTable[[#This Row],[ZIP code]],ModifiedBaseTable!B:R,17,0))</f>
        <v>154</v>
      </c>
      <c r="J102" s="73">
        <f>UninsuredTable[[#This Row],[Alternate Adj Total Uninsured]]*(UninsuredTable[[#This Row],[Below 138% of FPL - No Health Insurance]]/UninsuredTable[[#This Row],[Total Uninsured Population]])</f>
        <v>108.9629812296053</v>
      </c>
      <c r="K102">
        <v>804</v>
      </c>
      <c r="L102">
        <v>24</v>
      </c>
      <c r="M102" s="73">
        <f>UninsuredTable[[#This Row],[Alternate Adj Total Uninsured]]*(UninsuredTable[[#This Row],[138% to 199% - No Health Insurance]]/UninsuredTable[[#This Row],[Total Uninsured Population]])</f>
        <v>16.981243827990436</v>
      </c>
      <c r="N102">
        <v>4482</v>
      </c>
      <c r="O102">
        <v>238</v>
      </c>
      <c r="P102" s="73">
        <f>UninsuredTable[[#This Row],[Alternate Adj Total Uninsured]]*(UninsuredTable[[#This Row],[200 to 399% of FPL - No Health Insurance]]/UninsuredTable[[#This Row],[Total Uninsured Population]])</f>
        <v>168.39733462757184</v>
      </c>
      <c r="Q102">
        <v>33247</v>
      </c>
      <c r="R102">
        <v>871</v>
      </c>
      <c r="S102" s="73">
        <f>UninsuredTable[[#This Row],[Alternate Adj Total Uninsured]]*(UninsuredTable[[#This Row],[400% FPL and over - No Health Insurance]]/UninsuredTable[[#This Row],[Total Uninsured Population]])</f>
        <v>616.2776405908196</v>
      </c>
    </row>
    <row r="103" spans="1:19" x14ac:dyDescent="0.3">
      <c r="A103">
        <v>20794</v>
      </c>
      <c r="B103" t="s">
        <v>1091</v>
      </c>
      <c r="C103" t="s">
        <v>1038</v>
      </c>
      <c r="D103">
        <v>9792</v>
      </c>
      <c r="E103">
        <f t="shared" si="1"/>
        <v>787</v>
      </c>
      <c r="F10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787</v>
      </c>
      <c r="G10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787</v>
      </c>
      <c r="H103" s="28">
        <v>1067</v>
      </c>
      <c r="I103">
        <f>SUM(VLOOKUP(UninsuredTable[[#This Row],[ZIP code]],ModifiedBaseTable!B:R,11,0),VLOOKUP(UninsuredTable[[#This Row],[ZIP code]],ModifiedBaseTable!B:R,17,0))</f>
        <v>152</v>
      </c>
      <c r="J103" s="73">
        <f>UninsuredTable[[#This Row],[Alternate Adj Total Uninsured]]*(UninsuredTable[[#This Row],[Below 138% of FPL - No Health Insurance]]/UninsuredTable[[#This Row],[Total Uninsured Population]])</f>
        <v>152</v>
      </c>
      <c r="K103">
        <v>994</v>
      </c>
      <c r="L103">
        <v>134</v>
      </c>
      <c r="M103" s="73">
        <f>UninsuredTable[[#This Row],[Alternate Adj Total Uninsured]]*(UninsuredTable[[#This Row],[138% to 199% - No Health Insurance]]/UninsuredTable[[#This Row],[Total Uninsured Population]])</f>
        <v>134</v>
      </c>
      <c r="N103">
        <v>2058</v>
      </c>
      <c r="O103">
        <v>336</v>
      </c>
      <c r="P103" s="73">
        <f>UninsuredTable[[#This Row],[Alternate Adj Total Uninsured]]*(UninsuredTable[[#This Row],[200 to 399% of FPL - No Health Insurance]]/UninsuredTable[[#This Row],[Total Uninsured Population]])</f>
        <v>336</v>
      </c>
      <c r="Q103">
        <v>5673</v>
      </c>
      <c r="R103">
        <v>165</v>
      </c>
      <c r="S103" s="73">
        <f>UninsuredTable[[#This Row],[Alternate Adj Total Uninsured]]*(UninsuredTable[[#This Row],[400% FPL and over - No Health Insurance]]/UninsuredTable[[#This Row],[Total Uninsured Population]])</f>
        <v>165</v>
      </c>
    </row>
    <row r="104" spans="1:19" x14ac:dyDescent="0.3">
      <c r="A104">
        <v>21046</v>
      </c>
      <c r="B104" t="s">
        <v>1043</v>
      </c>
      <c r="C104" t="s">
        <v>1038</v>
      </c>
      <c r="D104">
        <v>15985</v>
      </c>
      <c r="E104">
        <f t="shared" si="1"/>
        <v>685</v>
      </c>
      <c r="F10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685</v>
      </c>
      <c r="G10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685</v>
      </c>
      <c r="H104" s="28">
        <v>2006</v>
      </c>
      <c r="I104">
        <f>SUM(VLOOKUP(UninsuredTable[[#This Row],[ZIP code]],ModifiedBaseTable!B:R,11,0),VLOOKUP(UninsuredTable[[#This Row],[ZIP code]],ModifiedBaseTable!B:R,17,0))</f>
        <v>254</v>
      </c>
      <c r="J104" s="73">
        <f>UninsuredTable[[#This Row],[Alternate Adj Total Uninsured]]*(UninsuredTable[[#This Row],[Below 138% of FPL - No Health Insurance]]/UninsuredTable[[#This Row],[Total Uninsured Population]])</f>
        <v>254</v>
      </c>
      <c r="K104">
        <v>1225</v>
      </c>
      <c r="L104">
        <v>87</v>
      </c>
      <c r="M104" s="73">
        <f>UninsuredTable[[#This Row],[Alternate Adj Total Uninsured]]*(UninsuredTable[[#This Row],[138% to 199% - No Health Insurance]]/UninsuredTable[[#This Row],[Total Uninsured Population]])</f>
        <v>86.999999999999986</v>
      </c>
      <c r="N104">
        <v>2594</v>
      </c>
      <c r="O104">
        <v>271</v>
      </c>
      <c r="P104" s="73">
        <f>UninsuredTable[[#This Row],[Alternate Adj Total Uninsured]]*(UninsuredTable[[#This Row],[200 to 399% of FPL - No Health Insurance]]/UninsuredTable[[#This Row],[Total Uninsured Population]])</f>
        <v>271</v>
      </c>
      <c r="Q104">
        <v>10160</v>
      </c>
      <c r="R104">
        <v>73</v>
      </c>
      <c r="S104" s="73">
        <f>UninsuredTable[[#This Row],[Alternate Adj Total Uninsured]]*(UninsuredTable[[#This Row],[400% FPL and over - No Health Insurance]]/UninsuredTable[[#This Row],[Total Uninsured Population]])</f>
        <v>73</v>
      </c>
    </row>
    <row r="105" spans="1:19" x14ac:dyDescent="0.3">
      <c r="A105">
        <v>21078</v>
      </c>
      <c r="B105" t="s">
        <v>1088</v>
      </c>
      <c r="C105" t="s">
        <v>1045</v>
      </c>
      <c r="D105">
        <v>17823</v>
      </c>
      <c r="E105">
        <f t="shared" si="1"/>
        <v>552</v>
      </c>
      <c r="F10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552</v>
      </c>
      <c r="G10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552</v>
      </c>
      <c r="H105" s="28">
        <v>2442</v>
      </c>
      <c r="I105">
        <f>SUM(VLOOKUP(UninsuredTable[[#This Row],[ZIP code]],ModifiedBaseTable!B:R,11,0),VLOOKUP(UninsuredTable[[#This Row],[ZIP code]],ModifiedBaseTable!B:R,17,0))</f>
        <v>129</v>
      </c>
      <c r="J105" s="73">
        <f>UninsuredTable[[#This Row],[Alternate Adj Total Uninsured]]*(UninsuredTable[[#This Row],[Below 138% of FPL - No Health Insurance]]/UninsuredTable[[#This Row],[Total Uninsured Population]])</f>
        <v>129</v>
      </c>
      <c r="K105">
        <v>1393</v>
      </c>
      <c r="L105">
        <v>98</v>
      </c>
      <c r="M105" s="73">
        <f>UninsuredTable[[#This Row],[Alternate Adj Total Uninsured]]*(UninsuredTable[[#This Row],[138% to 199% - No Health Insurance]]/UninsuredTable[[#This Row],[Total Uninsured Population]])</f>
        <v>98</v>
      </c>
      <c r="N105">
        <v>4396</v>
      </c>
      <c r="O105">
        <v>215</v>
      </c>
      <c r="P105" s="73">
        <f>UninsuredTable[[#This Row],[Alternate Adj Total Uninsured]]*(UninsuredTable[[#This Row],[200 to 399% of FPL - No Health Insurance]]/UninsuredTable[[#This Row],[Total Uninsured Population]])</f>
        <v>215</v>
      </c>
      <c r="Q105">
        <v>9592</v>
      </c>
      <c r="R105">
        <v>110</v>
      </c>
      <c r="S105" s="73">
        <f>UninsuredTable[[#This Row],[Alternate Adj Total Uninsured]]*(UninsuredTable[[#This Row],[400% FPL and over - No Health Insurance]]/UninsuredTable[[#This Row],[Total Uninsured Population]])</f>
        <v>110</v>
      </c>
    </row>
    <row r="106" spans="1:19" x14ac:dyDescent="0.3">
      <c r="A106">
        <v>21048</v>
      </c>
      <c r="B106" t="s">
        <v>1164</v>
      </c>
      <c r="C106" t="s">
        <v>1041</v>
      </c>
      <c r="D106">
        <v>10602</v>
      </c>
      <c r="E106">
        <f t="shared" si="1"/>
        <v>323</v>
      </c>
      <c r="F10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323</v>
      </c>
      <c r="G10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323</v>
      </c>
      <c r="H106" s="28">
        <v>746</v>
      </c>
      <c r="I106">
        <f>SUM(VLOOKUP(UninsuredTable[[#This Row],[ZIP code]],ModifiedBaseTable!B:R,11,0),VLOOKUP(UninsuredTable[[#This Row],[ZIP code]],ModifiedBaseTable!B:R,17,0))</f>
        <v>24</v>
      </c>
      <c r="J106" s="73">
        <f>UninsuredTable[[#This Row],[Alternate Adj Total Uninsured]]*(UninsuredTable[[#This Row],[Below 138% of FPL - No Health Insurance]]/UninsuredTable[[#This Row],[Total Uninsured Population]])</f>
        <v>24</v>
      </c>
      <c r="K106">
        <v>293</v>
      </c>
      <c r="L106">
        <v>26</v>
      </c>
      <c r="M106" s="73">
        <f>UninsuredTable[[#This Row],[Alternate Adj Total Uninsured]]*(UninsuredTable[[#This Row],[138% to 199% - No Health Insurance]]/UninsuredTable[[#This Row],[Total Uninsured Population]])</f>
        <v>26</v>
      </c>
      <c r="N106">
        <v>2281</v>
      </c>
      <c r="O106">
        <v>164</v>
      </c>
      <c r="P106" s="73">
        <f>UninsuredTable[[#This Row],[Alternate Adj Total Uninsured]]*(UninsuredTable[[#This Row],[200 to 399% of FPL - No Health Insurance]]/UninsuredTable[[#This Row],[Total Uninsured Population]])</f>
        <v>164</v>
      </c>
      <c r="Q106">
        <v>7282</v>
      </c>
      <c r="R106">
        <v>109</v>
      </c>
      <c r="S106" s="73">
        <f>UninsuredTable[[#This Row],[Alternate Adj Total Uninsured]]*(UninsuredTable[[#This Row],[400% FPL and over - No Health Insurance]]/UninsuredTable[[#This Row],[Total Uninsured Population]])</f>
        <v>109</v>
      </c>
    </row>
    <row r="107" spans="1:19" x14ac:dyDescent="0.3">
      <c r="A107">
        <v>21047</v>
      </c>
      <c r="B107" t="s">
        <v>1137</v>
      </c>
      <c r="C107" t="s">
        <v>1045</v>
      </c>
      <c r="D107">
        <v>12139</v>
      </c>
      <c r="E107">
        <f t="shared" si="1"/>
        <v>423</v>
      </c>
      <c r="F10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423</v>
      </c>
      <c r="G10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423</v>
      </c>
      <c r="H107" s="28">
        <v>565</v>
      </c>
      <c r="I107">
        <f>SUM(VLOOKUP(UninsuredTable[[#This Row],[ZIP code]],ModifiedBaseTable!B:R,11,0),VLOOKUP(UninsuredTable[[#This Row],[ZIP code]],ModifiedBaseTable!B:R,17,0))</f>
        <v>125</v>
      </c>
      <c r="J107" s="73">
        <f>UninsuredTable[[#This Row],[Alternate Adj Total Uninsured]]*(UninsuredTable[[#This Row],[Below 138% of FPL - No Health Insurance]]/UninsuredTable[[#This Row],[Total Uninsured Population]])</f>
        <v>124.99999999999999</v>
      </c>
      <c r="K107">
        <v>270</v>
      </c>
      <c r="L107">
        <v>18</v>
      </c>
      <c r="M107" s="73">
        <f>UninsuredTable[[#This Row],[Alternate Adj Total Uninsured]]*(UninsuredTable[[#This Row],[138% to 199% - No Health Insurance]]/UninsuredTable[[#This Row],[Total Uninsured Population]])</f>
        <v>18</v>
      </c>
      <c r="N107">
        <v>2685</v>
      </c>
      <c r="O107">
        <v>140</v>
      </c>
      <c r="P107" s="73">
        <f>UninsuredTable[[#This Row],[Alternate Adj Total Uninsured]]*(UninsuredTable[[#This Row],[200 to 399% of FPL - No Health Insurance]]/UninsuredTable[[#This Row],[Total Uninsured Population]])</f>
        <v>140</v>
      </c>
      <c r="Q107">
        <v>8619</v>
      </c>
      <c r="R107">
        <v>140</v>
      </c>
      <c r="S107" s="73">
        <f>UninsuredTable[[#This Row],[Alternate Adj Total Uninsured]]*(UninsuredTable[[#This Row],[400% FPL and over - No Health Insurance]]/UninsuredTable[[#This Row],[Total Uninsured Population]])</f>
        <v>140</v>
      </c>
    </row>
    <row r="108" spans="1:19" x14ac:dyDescent="0.3">
      <c r="A108">
        <v>21053</v>
      </c>
      <c r="B108" t="s">
        <v>1144</v>
      </c>
      <c r="C108" t="s">
        <v>992</v>
      </c>
      <c r="D108">
        <v>3559</v>
      </c>
      <c r="E108">
        <f t="shared" si="1"/>
        <v>387</v>
      </c>
      <c r="F10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387</v>
      </c>
      <c r="G10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387</v>
      </c>
      <c r="H108" s="28">
        <v>227</v>
      </c>
      <c r="I108">
        <f>SUM(VLOOKUP(UninsuredTable[[#This Row],[ZIP code]],ModifiedBaseTable!B:R,11,0),VLOOKUP(UninsuredTable[[#This Row],[ZIP code]],ModifiedBaseTable!B:R,17,0))</f>
        <v>70</v>
      </c>
      <c r="J108" s="73">
        <f>UninsuredTable[[#This Row],[Alternate Adj Total Uninsured]]*(UninsuredTable[[#This Row],[Below 138% of FPL - No Health Insurance]]/UninsuredTable[[#This Row],[Total Uninsured Population]])</f>
        <v>70</v>
      </c>
      <c r="K108">
        <v>226</v>
      </c>
      <c r="L108">
        <v>0</v>
      </c>
      <c r="M108" s="73">
        <f>UninsuredTable[[#This Row],[Alternate Adj Total Uninsured]]*(UninsuredTable[[#This Row],[138% to 199% - No Health Insurance]]/UninsuredTable[[#This Row],[Total Uninsured Population]])</f>
        <v>0</v>
      </c>
      <c r="N108">
        <v>1083</v>
      </c>
      <c r="O108">
        <v>200</v>
      </c>
      <c r="P108" s="73">
        <f>UninsuredTable[[#This Row],[Alternate Adj Total Uninsured]]*(UninsuredTable[[#This Row],[200 to 399% of FPL - No Health Insurance]]/UninsuredTable[[#This Row],[Total Uninsured Population]])</f>
        <v>199.99999999999997</v>
      </c>
      <c r="Q108">
        <v>2023</v>
      </c>
      <c r="R108">
        <v>117</v>
      </c>
      <c r="S108" s="73">
        <f>UninsuredTable[[#This Row],[Alternate Adj Total Uninsured]]*(UninsuredTable[[#This Row],[400% FPL and over - No Health Insurance]]/UninsuredTable[[#This Row],[Total Uninsured Population]])</f>
        <v>117</v>
      </c>
    </row>
    <row r="109" spans="1:19" x14ac:dyDescent="0.3">
      <c r="A109">
        <v>21054</v>
      </c>
      <c r="B109" t="s">
        <v>1185</v>
      </c>
      <c r="C109" t="s">
        <v>996</v>
      </c>
      <c r="D109">
        <v>10159</v>
      </c>
      <c r="E109">
        <f t="shared" si="1"/>
        <v>294</v>
      </c>
      <c r="F10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294</v>
      </c>
      <c r="G10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294</v>
      </c>
      <c r="H109" s="28">
        <v>672</v>
      </c>
      <c r="I109">
        <f>SUM(VLOOKUP(UninsuredTable[[#This Row],[ZIP code]],ModifiedBaseTable!B:R,11,0),VLOOKUP(UninsuredTable[[#This Row],[ZIP code]],ModifiedBaseTable!B:R,17,0))</f>
        <v>56</v>
      </c>
      <c r="J109" s="73">
        <f>UninsuredTable[[#This Row],[Alternate Adj Total Uninsured]]*(UninsuredTable[[#This Row],[Below 138% of FPL - No Health Insurance]]/UninsuredTable[[#This Row],[Total Uninsured Population]])</f>
        <v>56</v>
      </c>
      <c r="K109">
        <v>265</v>
      </c>
      <c r="L109">
        <v>11</v>
      </c>
      <c r="M109" s="73">
        <f>UninsuredTable[[#This Row],[Alternate Adj Total Uninsured]]*(UninsuredTable[[#This Row],[138% to 199% - No Health Insurance]]/UninsuredTable[[#This Row],[Total Uninsured Population]])</f>
        <v>11</v>
      </c>
      <c r="N109">
        <v>1833</v>
      </c>
      <c r="O109">
        <v>50</v>
      </c>
      <c r="P109" s="73">
        <f>UninsuredTable[[#This Row],[Alternate Adj Total Uninsured]]*(UninsuredTable[[#This Row],[200 to 399% of FPL - No Health Insurance]]/UninsuredTable[[#This Row],[Total Uninsured Population]])</f>
        <v>50</v>
      </c>
      <c r="Q109">
        <v>7389</v>
      </c>
      <c r="R109">
        <v>177</v>
      </c>
      <c r="S109" s="73">
        <f>UninsuredTable[[#This Row],[Alternate Adj Total Uninsured]]*(UninsuredTable[[#This Row],[400% FPL and over - No Health Insurance]]/UninsuredTable[[#This Row],[Total Uninsured Population]])</f>
        <v>177</v>
      </c>
    </row>
    <row r="110" spans="1:19" x14ac:dyDescent="0.3">
      <c r="A110">
        <v>21060</v>
      </c>
      <c r="B110" t="s">
        <v>995</v>
      </c>
      <c r="C110" t="s">
        <v>996</v>
      </c>
      <c r="D110">
        <v>32228</v>
      </c>
      <c r="E110">
        <f t="shared" si="1"/>
        <v>2466</v>
      </c>
      <c r="F11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1480.8000000000002</v>
      </c>
      <c r="G11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1627.6434347628874</v>
      </c>
      <c r="H110" s="28">
        <v>4554</v>
      </c>
      <c r="I110">
        <f>SUM(VLOOKUP(UninsuredTable[[#This Row],[ZIP code]],ModifiedBaseTable!B:R,11,0),VLOOKUP(UninsuredTable[[#This Row],[ZIP code]],ModifiedBaseTable!B:R,17,0))</f>
        <v>295</v>
      </c>
      <c r="J110" s="73">
        <f>UninsuredTable[[#This Row],[Alternate Adj Total Uninsured]]*(UninsuredTable[[#This Row],[Below 138% of FPL - No Health Insurance]]/UninsuredTable[[#This Row],[Total Uninsured Population]])</f>
        <v>194.70998104422213</v>
      </c>
      <c r="K110">
        <v>3027</v>
      </c>
      <c r="L110">
        <v>564</v>
      </c>
      <c r="M110" s="73">
        <f>UninsuredTable[[#This Row],[Alternate Adj Total Uninsured]]*(UninsuredTable[[#This Row],[138% to 199% - No Health Insurance]]/UninsuredTable[[#This Row],[Total Uninsured Population]])</f>
        <v>372.2590824031908</v>
      </c>
      <c r="N110">
        <v>10198</v>
      </c>
      <c r="O110">
        <v>1092</v>
      </c>
      <c r="P110" s="73">
        <f>UninsuredTable[[#This Row],[Alternate Adj Total Uninsured]]*(UninsuredTable[[#This Row],[200 to 399% of FPL - No Health Insurance]]/UninsuredTable[[#This Row],[Total Uninsured Population]])</f>
        <v>720.75694678064599</v>
      </c>
      <c r="Q110">
        <v>14449</v>
      </c>
      <c r="R110">
        <v>515</v>
      </c>
      <c r="S110" s="73">
        <f>UninsuredTable[[#This Row],[Alternate Adj Total Uninsured]]*(UninsuredTable[[#This Row],[400% FPL and over - No Health Insurance]]/UninsuredTable[[#This Row],[Total Uninsured Population]])</f>
        <v>339.91742453482846</v>
      </c>
    </row>
    <row r="111" spans="1:19" x14ac:dyDescent="0.3">
      <c r="A111">
        <v>21061</v>
      </c>
      <c r="B111" t="s">
        <v>995</v>
      </c>
      <c r="C111" t="s">
        <v>996</v>
      </c>
      <c r="D111">
        <v>53083</v>
      </c>
      <c r="E111">
        <f t="shared" si="1"/>
        <v>4209</v>
      </c>
      <c r="F11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2360.8000000000002</v>
      </c>
      <c r="G11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2661.1724242792075</v>
      </c>
      <c r="H111" s="28">
        <v>7843</v>
      </c>
      <c r="I111">
        <f>SUM(VLOOKUP(UninsuredTable[[#This Row],[ZIP code]],ModifiedBaseTable!B:R,11,0),VLOOKUP(UninsuredTable[[#This Row],[ZIP code]],ModifiedBaseTable!B:R,17,0))</f>
        <v>809</v>
      </c>
      <c r="J111" s="73">
        <f>UninsuredTable[[#This Row],[Alternate Adj Total Uninsured]]*(UninsuredTable[[#This Row],[Below 138% of FPL - No Health Insurance]]/UninsuredTable[[#This Row],[Total Uninsured Population]])</f>
        <v>511.49643412731734</v>
      </c>
      <c r="K111">
        <v>5508</v>
      </c>
      <c r="L111">
        <v>814</v>
      </c>
      <c r="M111" s="73">
        <f>UninsuredTable[[#This Row],[Alternate Adj Total Uninsured]]*(UninsuredTable[[#This Row],[138% to 199% - No Health Insurance]]/UninsuredTable[[#This Row],[Total Uninsured Population]])</f>
        <v>514.65772234812891</v>
      </c>
      <c r="N111">
        <v>19186</v>
      </c>
      <c r="O111">
        <v>1995</v>
      </c>
      <c r="P111" s="73">
        <f>UninsuredTable[[#This Row],[Alternate Adj Total Uninsured]]*(UninsuredTable[[#This Row],[200 to 399% of FPL - No Health Insurance]]/UninsuredTable[[#This Row],[Total Uninsured Population]])</f>
        <v>1261.3540001038295</v>
      </c>
      <c r="Q111">
        <v>20546</v>
      </c>
      <c r="R111">
        <v>591</v>
      </c>
      <c r="S111" s="73">
        <f>UninsuredTable[[#This Row],[Alternate Adj Total Uninsured]]*(UninsuredTable[[#This Row],[400% FPL and over - No Health Insurance]]/UninsuredTable[[#This Row],[Total Uninsured Population]])</f>
        <v>373.66426769993149</v>
      </c>
    </row>
    <row r="112" spans="1:19" x14ac:dyDescent="0.3">
      <c r="A112">
        <v>21074</v>
      </c>
      <c r="B112" t="s">
        <v>1117</v>
      </c>
      <c r="C112" t="s">
        <v>1041</v>
      </c>
      <c r="D112">
        <v>14914</v>
      </c>
      <c r="E112">
        <f t="shared" si="1"/>
        <v>469</v>
      </c>
      <c r="F11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469</v>
      </c>
      <c r="G11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469</v>
      </c>
      <c r="H112" s="28">
        <v>1072</v>
      </c>
      <c r="I112">
        <f>SUM(VLOOKUP(UninsuredTable[[#This Row],[ZIP code]],ModifiedBaseTable!B:R,11,0),VLOOKUP(UninsuredTable[[#This Row],[ZIP code]],ModifiedBaseTable!B:R,17,0))</f>
        <v>123</v>
      </c>
      <c r="J112" s="73">
        <f>UninsuredTable[[#This Row],[Alternate Adj Total Uninsured]]*(UninsuredTable[[#This Row],[Below 138% of FPL - No Health Insurance]]/UninsuredTable[[#This Row],[Total Uninsured Population]])</f>
        <v>123</v>
      </c>
      <c r="K112">
        <v>1187</v>
      </c>
      <c r="L112">
        <v>235</v>
      </c>
      <c r="M112" s="73">
        <f>UninsuredTable[[#This Row],[Alternate Adj Total Uninsured]]*(UninsuredTable[[#This Row],[138% to 199% - No Health Insurance]]/UninsuredTable[[#This Row],[Total Uninsured Population]])</f>
        <v>235</v>
      </c>
      <c r="N112">
        <v>4346</v>
      </c>
      <c r="O112">
        <v>75</v>
      </c>
      <c r="P112" s="73">
        <f>UninsuredTable[[#This Row],[Alternate Adj Total Uninsured]]*(UninsuredTable[[#This Row],[200 to 399% of FPL - No Health Insurance]]/UninsuredTable[[#This Row],[Total Uninsured Population]])</f>
        <v>75</v>
      </c>
      <c r="Q112">
        <v>8309</v>
      </c>
      <c r="R112">
        <v>36</v>
      </c>
      <c r="S112" s="73">
        <f>UninsuredTable[[#This Row],[Alternate Adj Total Uninsured]]*(UninsuredTable[[#This Row],[400% FPL and over - No Health Insurance]]/UninsuredTable[[#This Row],[Total Uninsured Population]])</f>
        <v>36</v>
      </c>
    </row>
    <row r="113" spans="1:19" x14ac:dyDescent="0.3">
      <c r="A113">
        <v>21163</v>
      </c>
      <c r="B113" t="s">
        <v>1122</v>
      </c>
      <c r="C113" t="s">
        <v>1038</v>
      </c>
      <c r="D113">
        <v>7137</v>
      </c>
      <c r="E113">
        <f t="shared" si="1"/>
        <v>458</v>
      </c>
      <c r="F11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458</v>
      </c>
      <c r="G11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458</v>
      </c>
      <c r="H113" s="28">
        <v>682</v>
      </c>
      <c r="I113">
        <f>SUM(VLOOKUP(UninsuredTable[[#This Row],[ZIP code]],ModifiedBaseTable!B:R,11,0),VLOOKUP(UninsuredTable[[#This Row],[ZIP code]],ModifiedBaseTable!B:R,17,0))</f>
        <v>186</v>
      </c>
      <c r="J113" s="73">
        <f>UninsuredTable[[#This Row],[Alternate Adj Total Uninsured]]*(UninsuredTable[[#This Row],[Below 138% of FPL - No Health Insurance]]/UninsuredTable[[#This Row],[Total Uninsured Population]])</f>
        <v>186</v>
      </c>
      <c r="K113">
        <v>298</v>
      </c>
      <c r="L113">
        <v>0</v>
      </c>
      <c r="M113" s="73">
        <f>UninsuredTable[[#This Row],[Alternate Adj Total Uninsured]]*(UninsuredTable[[#This Row],[138% to 199% - No Health Insurance]]/UninsuredTable[[#This Row],[Total Uninsured Population]])</f>
        <v>0</v>
      </c>
      <c r="N113">
        <v>1228</v>
      </c>
      <c r="O113">
        <v>214</v>
      </c>
      <c r="P113" s="73">
        <f>UninsuredTable[[#This Row],[Alternate Adj Total Uninsured]]*(UninsuredTable[[#This Row],[200 to 399% of FPL - No Health Insurance]]/UninsuredTable[[#This Row],[Total Uninsured Population]])</f>
        <v>214</v>
      </c>
      <c r="Q113">
        <v>4929</v>
      </c>
      <c r="R113">
        <v>58</v>
      </c>
      <c r="S113" s="73">
        <f>UninsuredTable[[#This Row],[Alternate Adj Total Uninsured]]*(UninsuredTable[[#This Row],[400% FPL and over - No Health Insurance]]/UninsuredTable[[#This Row],[Total Uninsured Population]])</f>
        <v>57.999999999999993</v>
      </c>
    </row>
    <row r="114" spans="1:19" x14ac:dyDescent="0.3">
      <c r="A114">
        <v>21076</v>
      </c>
      <c r="B114" t="s">
        <v>1114</v>
      </c>
      <c r="C114" t="s">
        <v>996</v>
      </c>
      <c r="D114">
        <v>16009</v>
      </c>
      <c r="E114">
        <f t="shared" si="1"/>
        <v>590</v>
      </c>
      <c r="F11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590</v>
      </c>
      <c r="G11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590</v>
      </c>
      <c r="H114" s="28">
        <v>484</v>
      </c>
      <c r="I114">
        <f>SUM(VLOOKUP(UninsuredTable[[#This Row],[ZIP code]],ModifiedBaseTable!B:R,11,0),VLOOKUP(UninsuredTable[[#This Row],[ZIP code]],ModifiedBaseTable!B:R,17,0))</f>
        <v>67</v>
      </c>
      <c r="J114" s="73">
        <f>UninsuredTable[[#This Row],[Alternate Adj Total Uninsured]]*(UninsuredTable[[#This Row],[Below 138% of FPL - No Health Insurance]]/UninsuredTable[[#This Row],[Total Uninsured Population]])</f>
        <v>67</v>
      </c>
      <c r="K114">
        <v>631</v>
      </c>
      <c r="L114">
        <v>100</v>
      </c>
      <c r="M114" s="73">
        <f>UninsuredTable[[#This Row],[Alternate Adj Total Uninsured]]*(UninsuredTable[[#This Row],[138% to 199% - No Health Insurance]]/UninsuredTable[[#This Row],[Total Uninsured Population]])</f>
        <v>100</v>
      </c>
      <c r="N114">
        <v>3465</v>
      </c>
      <c r="O114">
        <v>128</v>
      </c>
      <c r="P114" s="73">
        <f>UninsuredTable[[#This Row],[Alternate Adj Total Uninsured]]*(UninsuredTable[[#This Row],[200 to 399% of FPL - No Health Insurance]]/UninsuredTable[[#This Row],[Total Uninsured Population]])</f>
        <v>128</v>
      </c>
      <c r="Q114">
        <v>11429</v>
      </c>
      <c r="R114">
        <v>295</v>
      </c>
      <c r="S114" s="73">
        <f>UninsuredTable[[#This Row],[Alternate Adj Total Uninsured]]*(UninsuredTable[[#This Row],[400% FPL and over - No Health Insurance]]/UninsuredTable[[#This Row],[Total Uninsured Population]])</f>
        <v>295</v>
      </c>
    </row>
    <row r="115" spans="1:19" x14ac:dyDescent="0.3">
      <c r="A115">
        <v>21050</v>
      </c>
      <c r="B115" t="s">
        <v>1129</v>
      </c>
      <c r="C115" t="s">
        <v>1045</v>
      </c>
      <c r="D115">
        <v>17828</v>
      </c>
      <c r="E115">
        <f t="shared" si="1"/>
        <v>407</v>
      </c>
      <c r="F11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407</v>
      </c>
      <c r="G11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407</v>
      </c>
      <c r="H115" s="28">
        <v>901</v>
      </c>
      <c r="I115">
        <f>SUM(VLOOKUP(UninsuredTable[[#This Row],[ZIP code]],ModifiedBaseTable!B:R,11,0),VLOOKUP(UninsuredTable[[#This Row],[ZIP code]],ModifiedBaseTable!B:R,17,0))</f>
        <v>103</v>
      </c>
      <c r="J115" s="73">
        <f>UninsuredTable[[#This Row],[Alternate Adj Total Uninsured]]*(UninsuredTable[[#This Row],[Below 138% of FPL - No Health Insurance]]/UninsuredTable[[#This Row],[Total Uninsured Population]])</f>
        <v>103</v>
      </c>
      <c r="K115">
        <v>777</v>
      </c>
      <c r="L115">
        <v>19</v>
      </c>
      <c r="M115" s="73">
        <f>UninsuredTable[[#This Row],[Alternate Adj Total Uninsured]]*(UninsuredTable[[#This Row],[138% to 199% - No Health Insurance]]/UninsuredTable[[#This Row],[Total Uninsured Population]])</f>
        <v>19</v>
      </c>
      <c r="N115">
        <v>3851</v>
      </c>
      <c r="O115">
        <v>173</v>
      </c>
      <c r="P115" s="73">
        <f>UninsuredTable[[#This Row],[Alternate Adj Total Uninsured]]*(UninsuredTable[[#This Row],[200 to 399% of FPL - No Health Insurance]]/UninsuredTable[[#This Row],[Total Uninsured Population]])</f>
        <v>173</v>
      </c>
      <c r="Q115">
        <v>12299</v>
      </c>
      <c r="R115">
        <v>112</v>
      </c>
      <c r="S115" s="73">
        <f>UninsuredTable[[#This Row],[Alternate Adj Total Uninsured]]*(UninsuredTable[[#This Row],[400% FPL and over - No Health Insurance]]/UninsuredTable[[#This Row],[Total Uninsured Population]])</f>
        <v>112</v>
      </c>
    </row>
    <row r="116" spans="1:19" x14ac:dyDescent="0.3">
      <c r="A116">
        <v>21017</v>
      </c>
      <c r="B116" t="s">
        <v>1188</v>
      </c>
      <c r="C116" t="s">
        <v>1045</v>
      </c>
      <c r="D116">
        <v>6522</v>
      </c>
      <c r="E116">
        <f t="shared" si="1"/>
        <v>308</v>
      </c>
      <c r="F11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308</v>
      </c>
      <c r="G11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308</v>
      </c>
      <c r="H116" s="28">
        <v>774</v>
      </c>
      <c r="I116">
        <f>SUM(VLOOKUP(UninsuredTable[[#This Row],[ZIP code]],ModifiedBaseTable!B:R,11,0),VLOOKUP(UninsuredTable[[#This Row],[ZIP code]],ModifiedBaseTable!B:R,17,0))</f>
        <v>36</v>
      </c>
      <c r="J116" s="73">
        <f>UninsuredTable[[#This Row],[Alternate Adj Total Uninsured]]*(UninsuredTable[[#This Row],[Below 138% of FPL - No Health Insurance]]/UninsuredTable[[#This Row],[Total Uninsured Population]])</f>
        <v>36</v>
      </c>
      <c r="K116">
        <v>393</v>
      </c>
      <c r="L116">
        <v>64</v>
      </c>
      <c r="M116" s="73">
        <f>UninsuredTable[[#This Row],[Alternate Adj Total Uninsured]]*(UninsuredTable[[#This Row],[138% to 199% - No Health Insurance]]/UninsuredTable[[#This Row],[Total Uninsured Population]])</f>
        <v>64</v>
      </c>
      <c r="N116">
        <v>1798</v>
      </c>
      <c r="O116">
        <v>101</v>
      </c>
      <c r="P116" s="73">
        <f>UninsuredTable[[#This Row],[Alternate Adj Total Uninsured]]*(UninsuredTable[[#This Row],[200 to 399% of FPL - No Health Insurance]]/UninsuredTable[[#This Row],[Total Uninsured Population]])</f>
        <v>101.00000000000001</v>
      </c>
      <c r="Q116">
        <v>3557</v>
      </c>
      <c r="R116">
        <v>107</v>
      </c>
      <c r="S116" s="73">
        <f>UninsuredTable[[#This Row],[Alternate Adj Total Uninsured]]*(UninsuredTable[[#This Row],[400% FPL and over - No Health Insurance]]/UninsuredTable[[#This Row],[Total Uninsured Population]])</f>
        <v>107</v>
      </c>
    </row>
    <row r="117" spans="1:19" x14ac:dyDescent="0.3">
      <c r="A117">
        <v>21084</v>
      </c>
      <c r="B117" t="s">
        <v>1154</v>
      </c>
      <c r="C117" t="s">
        <v>1045</v>
      </c>
      <c r="D117">
        <v>7731</v>
      </c>
      <c r="E117">
        <f t="shared" si="1"/>
        <v>269</v>
      </c>
      <c r="F11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269</v>
      </c>
      <c r="G11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269</v>
      </c>
      <c r="H117" s="28">
        <v>661</v>
      </c>
      <c r="I117">
        <f>SUM(VLOOKUP(UninsuredTable[[#This Row],[ZIP code]],ModifiedBaseTable!B:R,11,0),VLOOKUP(UninsuredTable[[#This Row],[ZIP code]],ModifiedBaseTable!B:R,17,0))</f>
        <v>129</v>
      </c>
      <c r="J117" s="73">
        <f>UninsuredTable[[#This Row],[Alternate Adj Total Uninsured]]*(UninsuredTable[[#This Row],[Below 138% of FPL - No Health Insurance]]/UninsuredTable[[#This Row],[Total Uninsured Population]])</f>
        <v>129</v>
      </c>
      <c r="K117">
        <v>226</v>
      </c>
      <c r="L117">
        <v>7</v>
      </c>
      <c r="M117" s="73">
        <f>UninsuredTable[[#This Row],[Alternate Adj Total Uninsured]]*(UninsuredTable[[#This Row],[138% to 199% - No Health Insurance]]/UninsuredTable[[#This Row],[Total Uninsured Population]])</f>
        <v>7</v>
      </c>
      <c r="N117">
        <v>1557</v>
      </c>
      <c r="O117">
        <v>89</v>
      </c>
      <c r="P117" s="73">
        <f>UninsuredTable[[#This Row],[Alternate Adj Total Uninsured]]*(UninsuredTable[[#This Row],[200 to 399% of FPL - No Health Insurance]]/UninsuredTable[[#This Row],[Total Uninsured Population]])</f>
        <v>89</v>
      </c>
      <c r="Q117">
        <v>5287</v>
      </c>
      <c r="R117">
        <v>44</v>
      </c>
      <c r="S117" s="73">
        <f>UninsuredTable[[#This Row],[Alternate Adj Total Uninsured]]*(UninsuredTable[[#This Row],[400% FPL and over - No Health Insurance]]/UninsuredTable[[#This Row],[Total Uninsured Population]])</f>
        <v>44</v>
      </c>
    </row>
    <row r="118" spans="1:19" x14ac:dyDescent="0.3">
      <c r="A118">
        <v>21090</v>
      </c>
      <c r="B118" t="s">
        <v>1116</v>
      </c>
      <c r="C118" t="s">
        <v>996</v>
      </c>
      <c r="D118">
        <v>10377</v>
      </c>
      <c r="E118">
        <f t="shared" si="1"/>
        <v>569</v>
      </c>
      <c r="F11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569</v>
      </c>
      <c r="G11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569</v>
      </c>
      <c r="H118" s="28">
        <v>845</v>
      </c>
      <c r="I118">
        <f>SUM(VLOOKUP(UninsuredTable[[#This Row],[ZIP code]],ModifiedBaseTable!B:R,11,0),VLOOKUP(UninsuredTable[[#This Row],[ZIP code]],ModifiedBaseTable!B:R,17,0))</f>
        <v>105</v>
      </c>
      <c r="J118" s="73">
        <f>UninsuredTable[[#This Row],[Alternate Adj Total Uninsured]]*(UninsuredTable[[#This Row],[Below 138% of FPL - No Health Insurance]]/UninsuredTable[[#This Row],[Total Uninsured Population]])</f>
        <v>105</v>
      </c>
      <c r="K118">
        <v>599</v>
      </c>
      <c r="L118">
        <v>118</v>
      </c>
      <c r="M118" s="73">
        <f>UninsuredTable[[#This Row],[Alternate Adj Total Uninsured]]*(UninsuredTable[[#This Row],[138% to 199% - No Health Insurance]]/UninsuredTable[[#This Row],[Total Uninsured Population]])</f>
        <v>118</v>
      </c>
      <c r="N118">
        <v>2493</v>
      </c>
      <c r="O118">
        <v>32</v>
      </c>
      <c r="P118" s="73">
        <f>UninsuredTable[[#This Row],[Alternate Adj Total Uninsured]]*(UninsuredTable[[#This Row],[200 to 399% of FPL - No Health Insurance]]/UninsuredTable[[#This Row],[Total Uninsured Population]])</f>
        <v>31.999999999999996</v>
      </c>
      <c r="Q118">
        <v>6440</v>
      </c>
      <c r="R118">
        <v>314</v>
      </c>
      <c r="S118" s="73">
        <f>UninsuredTable[[#This Row],[Alternate Adj Total Uninsured]]*(UninsuredTable[[#This Row],[400% FPL and over - No Health Insurance]]/UninsuredTable[[#This Row],[Total Uninsured Population]])</f>
        <v>314</v>
      </c>
    </row>
    <row r="119" spans="1:19" x14ac:dyDescent="0.3">
      <c r="A119">
        <v>21093</v>
      </c>
      <c r="B119" t="s">
        <v>1066</v>
      </c>
      <c r="C119" t="s">
        <v>992</v>
      </c>
      <c r="D119">
        <v>37262</v>
      </c>
      <c r="E119">
        <f t="shared" si="1"/>
        <v>1058</v>
      </c>
      <c r="F11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728</v>
      </c>
      <c r="G11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763.33793226814203</v>
      </c>
      <c r="H119" s="28">
        <v>2225</v>
      </c>
      <c r="I119">
        <f>SUM(VLOOKUP(UninsuredTable[[#This Row],[ZIP code]],ModifiedBaseTable!B:R,11,0),VLOOKUP(UninsuredTable[[#This Row],[ZIP code]],ModifiedBaseTable!B:R,17,0))</f>
        <v>245</v>
      </c>
      <c r="J119" s="73">
        <f>UninsuredTable[[#This Row],[Alternate Adj Total Uninsured]]*(UninsuredTable[[#This Row],[Below 138% of FPL - No Health Insurance]]/UninsuredTable[[#This Row],[Total Uninsured Population]])</f>
        <v>176.7654001944185</v>
      </c>
      <c r="K119">
        <v>1783</v>
      </c>
      <c r="L119">
        <v>150</v>
      </c>
      <c r="M119" s="73">
        <f>UninsuredTable[[#This Row],[Alternate Adj Total Uninsured]]*(UninsuredTable[[#This Row],[138% to 199% - No Health Insurance]]/UninsuredTable[[#This Row],[Total Uninsured Population]])</f>
        <v>108.22371440474603</v>
      </c>
      <c r="N119">
        <v>7944</v>
      </c>
      <c r="O119">
        <v>357</v>
      </c>
      <c r="P119" s="73">
        <f>UninsuredTable[[#This Row],[Alternate Adj Total Uninsured]]*(UninsuredTable[[#This Row],[200 to 399% of FPL - No Health Insurance]]/UninsuredTable[[#This Row],[Total Uninsured Population]])</f>
        <v>257.57244028329558</v>
      </c>
      <c r="Q119">
        <v>25310</v>
      </c>
      <c r="R119">
        <v>306</v>
      </c>
      <c r="S119" s="73">
        <f>UninsuredTable[[#This Row],[Alternate Adj Total Uninsured]]*(UninsuredTable[[#This Row],[400% FPL and over - No Health Insurance]]/UninsuredTable[[#This Row],[Total Uninsured Population]])</f>
        <v>220.77637738568191</v>
      </c>
    </row>
    <row r="120" spans="1:19" x14ac:dyDescent="0.3">
      <c r="A120">
        <v>21108</v>
      </c>
      <c r="B120" t="s">
        <v>1084</v>
      </c>
      <c r="C120" t="s">
        <v>996</v>
      </c>
      <c r="D120">
        <v>18682</v>
      </c>
      <c r="E120">
        <f t="shared" si="1"/>
        <v>678</v>
      </c>
      <c r="F12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678</v>
      </c>
      <c r="G12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678</v>
      </c>
      <c r="H120" s="28">
        <v>798</v>
      </c>
      <c r="I120">
        <f>SUM(VLOOKUP(UninsuredTable[[#This Row],[ZIP code]],ModifiedBaseTable!B:R,11,0),VLOOKUP(UninsuredTable[[#This Row],[ZIP code]],ModifiedBaseTable!B:R,17,0))</f>
        <v>157</v>
      </c>
      <c r="J120" s="73">
        <f>UninsuredTable[[#This Row],[Alternate Adj Total Uninsured]]*(UninsuredTable[[#This Row],[Below 138% of FPL - No Health Insurance]]/UninsuredTable[[#This Row],[Total Uninsured Population]])</f>
        <v>157</v>
      </c>
      <c r="K120">
        <v>449</v>
      </c>
      <c r="L120">
        <v>17</v>
      </c>
      <c r="M120" s="73">
        <f>UninsuredTable[[#This Row],[Alternate Adj Total Uninsured]]*(UninsuredTable[[#This Row],[138% to 199% - No Health Insurance]]/UninsuredTable[[#This Row],[Total Uninsured Population]])</f>
        <v>17</v>
      </c>
      <c r="N120">
        <v>3319</v>
      </c>
      <c r="O120">
        <v>246</v>
      </c>
      <c r="P120" s="73">
        <f>UninsuredTable[[#This Row],[Alternate Adj Total Uninsured]]*(UninsuredTable[[#This Row],[200 to 399% of FPL - No Health Insurance]]/UninsuredTable[[#This Row],[Total Uninsured Population]])</f>
        <v>246</v>
      </c>
      <c r="Q120">
        <v>14116</v>
      </c>
      <c r="R120">
        <v>258</v>
      </c>
      <c r="S120" s="73">
        <f>UninsuredTable[[#This Row],[Alternate Adj Total Uninsured]]*(UninsuredTable[[#This Row],[400% FPL and over - No Health Insurance]]/UninsuredTable[[#This Row],[Total Uninsured Population]])</f>
        <v>258</v>
      </c>
    </row>
    <row r="121" spans="1:19" x14ac:dyDescent="0.3">
      <c r="A121">
        <v>21113</v>
      </c>
      <c r="B121" t="s">
        <v>1068</v>
      </c>
      <c r="C121" t="s">
        <v>996</v>
      </c>
      <c r="D121">
        <v>32277</v>
      </c>
      <c r="E121">
        <f t="shared" si="1"/>
        <v>1557</v>
      </c>
      <c r="F12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910.40000000000009</v>
      </c>
      <c r="G12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1010.4445514888616</v>
      </c>
      <c r="H121" s="28">
        <v>2569</v>
      </c>
      <c r="I121">
        <f>SUM(VLOOKUP(UninsuredTable[[#This Row],[ZIP code]],ModifiedBaseTable!B:R,11,0),VLOOKUP(UninsuredTable[[#This Row],[ZIP code]],ModifiedBaseTable!B:R,17,0))</f>
        <v>590</v>
      </c>
      <c r="J121" s="73">
        <f>UninsuredTable[[#This Row],[Alternate Adj Total Uninsured]]*(UninsuredTable[[#This Row],[Below 138% of FPL - No Health Insurance]]/UninsuredTable[[#This Row],[Total Uninsured Population]])</f>
        <v>382.89164121928604</v>
      </c>
      <c r="K121">
        <v>1359</v>
      </c>
      <c r="L121">
        <v>72</v>
      </c>
      <c r="M121" s="73">
        <f>UninsuredTable[[#This Row],[Alternate Adj Total Uninsured]]*(UninsuredTable[[#This Row],[138% to 199% - No Health Insurance]]/UninsuredTable[[#This Row],[Total Uninsured Population]])</f>
        <v>46.725759606421342</v>
      </c>
      <c r="N121">
        <v>7291</v>
      </c>
      <c r="O121">
        <v>403</v>
      </c>
      <c r="P121" s="73">
        <f>UninsuredTable[[#This Row],[Alternate Adj Total Uninsured]]*(UninsuredTable[[#This Row],[200 to 399% of FPL - No Health Insurance]]/UninsuredTable[[#This Row],[Total Uninsured Population]])</f>
        <v>261.534460019275</v>
      </c>
      <c r="Q121">
        <v>21058</v>
      </c>
      <c r="R121">
        <v>492</v>
      </c>
      <c r="S121" s="73">
        <f>UninsuredTable[[#This Row],[Alternate Adj Total Uninsured]]*(UninsuredTable[[#This Row],[400% FPL and over - No Health Insurance]]/UninsuredTable[[#This Row],[Total Uninsured Population]])</f>
        <v>319.29269064387921</v>
      </c>
    </row>
    <row r="122" spans="1:19" x14ac:dyDescent="0.3">
      <c r="A122">
        <v>21114</v>
      </c>
      <c r="B122" t="s">
        <v>1100</v>
      </c>
      <c r="C122" t="s">
        <v>996</v>
      </c>
      <c r="D122">
        <v>26248</v>
      </c>
      <c r="E122">
        <f t="shared" si="1"/>
        <v>755</v>
      </c>
      <c r="F12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755</v>
      </c>
      <c r="G12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755</v>
      </c>
      <c r="H122" s="28">
        <v>841</v>
      </c>
      <c r="I122">
        <f>SUM(VLOOKUP(UninsuredTable[[#This Row],[ZIP code]],ModifiedBaseTable!B:R,11,0),VLOOKUP(UninsuredTable[[#This Row],[ZIP code]],ModifiedBaseTable!B:R,17,0))</f>
        <v>136</v>
      </c>
      <c r="J122" s="73">
        <f>UninsuredTable[[#This Row],[Alternate Adj Total Uninsured]]*(UninsuredTable[[#This Row],[Below 138% of FPL - No Health Insurance]]/UninsuredTable[[#This Row],[Total Uninsured Population]])</f>
        <v>136</v>
      </c>
      <c r="K122">
        <v>423</v>
      </c>
      <c r="L122">
        <v>20</v>
      </c>
      <c r="M122" s="73">
        <f>UninsuredTable[[#This Row],[Alternate Adj Total Uninsured]]*(UninsuredTable[[#This Row],[138% to 199% - No Health Insurance]]/UninsuredTable[[#This Row],[Total Uninsured Population]])</f>
        <v>20</v>
      </c>
      <c r="N122">
        <v>5430</v>
      </c>
      <c r="O122">
        <v>154</v>
      </c>
      <c r="P122" s="73">
        <f>UninsuredTable[[#This Row],[Alternate Adj Total Uninsured]]*(UninsuredTable[[#This Row],[200 to 399% of FPL - No Health Insurance]]/UninsuredTable[[#This Row],[Total Uninsured Population]])</f>
        <v>154</v>
      </c>
      <c r="Q122">
        <v>19554</v>
      </c>
      <c r="R122">
        <v>445</v>
      </c>
      <c r="S122" s="73">
        <f>UninsuredTable[[#This Row],[Alternate Adj Total Uninsured]]*(UninsuredTable[[#This Row],[400% FPL and over - No Health Insurance]]/UninsuredTable[[#This Row],[Total Uninsured Population]])</f>
        <v>445</v>
      </c>
    </row>
    <row r="123" spans="1:19" x14ac:dyDescent="0.3">
      <c r="A123">
        <v>21117</v>
      </c>
      <c r="B123" t="s">
        <v>1007</v>
      </c>
      <c r="C123" t="s">
        <v>992</v>
      </c>
      <c r="D123">
        <v>57707</v>
      </c>
      <c r="E123">
        <f t="shared" si="1"/>
        <v>4644</v>
      </c>
      <c r="F12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1924.8000000000002</v>
      </c>
      <c r="G12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2459.1668406493368</v>
      </c>
      <c r="H123" s="28">
        <v>6110</v>
      </c>
      <c r="I123">
        <f>SUM(VLOOKUP(UninsuredTable[[#This Row],[ZIP code]],ModifiedBaseTable!B:R,11,0),VLOOKUP(UninsuredTable[[#This Row],[ZIP code]],ModifiedBaseTable!B:R,17,0))</f>
        <v>1159</v>
      </c>
      <c r="J123" s="73">
        <f>UninsuredTable[[#This Row],[Alternate Adj Total Uninsured]]*(UninsuredTable[[#This Row],[Below 138% of FPL - No Health Insurance]]/UninsuredTable[[#This Row],[Total Uninsured Population]])</f>
        <v>613.73263744887629</v>
      </c>
      <c r="K123">
        <v>4682</v>
      </c>
      <c r="L123">
        <v>648</v>
      </c>
      <c r="M123" s="73">
        <f>UninsuredTable[[#This Row],[Alternate Adj Total Uninsured]]*(UninsuredTable[[#This Row],[138% to 199% - No Health Insurance]]/UninsuredTable[[#This Row],[Total Uninsured Population]])</f>
        <v>343.13955916037258</v>
      </c>
      <c r="N123">
        <v>17739</v>
      </c>
      <c r="O123">
        <v>2156</v>
      </c>
      <c r="P123" s="73">
        <f>UninsuredTable[[#This Row],[Alternate Adj Total Uninsured]]*(UninsuredTable[[#This Row],[200 to 399% of FPL - No Health Insurance]]/UninsuredTable[[#This Row],[Total Uninsured Population]])</f>
        <v>1141.6803851076593</v>
      </c>
      <c r="Q123">
        <v>29176</v>
      </c>
      <c r="R123">
        <v>681</v>
      </c>
      <c r="S123" s="73">
        <f>UninsuredTable[[#This Row],[Alternate Adj Total Uninsured]]*(UninsuredTable[[#This Row],[400% FPL and over - No Health Insurance]]/UninsuredTable[[#This Row],[Total Uninsured Population]])</f>
        <v>360.61425893242858</v>
      </c>
    </row>
    <row r="124" spans="1:19" x14ac:dyDescent="0.3">
      <c r="A124">
        <v>21122</v>
      </c>
      <c r="B124" t="s">
        <v>1030</v>
      </c>
      <c r="C124" t="s">
        <v>996</v>
      </c>
      <c r="D124">
        <v>60637</v>
      </c>
      <c r="E124">
        <f t="shared" si="1"/>
        <v>2789</v>
      </c>
      <c r="F12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2129.6</v>
      </c>
      <c r="G12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2159.9237662030678</v>
      </c>
      <c r="H124" s="28">
        <v>5267</v>
      </c>
      <c r="I124">
        <f>SUM(VLOOKUP(UninsuredTable[[#This Row],[ZIP code]],ModifiedBaseTable!B:R,11,0),VLOOKUP(UninsuredTable[[#This Row],[ZIP code]],ModifiedBaseTable!B:R,17,0))</f>
        <v>577</v>
      </c>
      <c r="J124" s="73">
        <f>UninsuredTable[[#This Row],[Alternate Adj Total Uninsured]]*(UninsuredTable[[#This Row],[Below 138% of FPL - No Health Insurance]]/UninsuredTable[[#This Row],[Total Uninsured Population]])</f>
        <v>446.85407425570816</v>
      </c>
      <c r="K124">
        <v>3677</v>
      </c>
      <c r="L124">
        <v>317</v>
      </c>
      <c r="M124" s="73">
        <f>UninsuredTable[[#This Row],[Alternate Adj Total Uninsured]]*(UninsuredTable[[#This Row],[138% to 199% - No Health Insurance]]/UninsuredTable[[#This Row],[Total Uninsured Population]])</f>
        <v>245.49868550963518</v>
      </c>
      <c r="N124">
        <v>16431</v>
      </c>
      <c r="O124">
        <v>742</v>
      </c>
      <c r="P124" s="73">
        <f>UninsuredTable[[#This Row],[Alternate Adj Total Uninsured]]*(UninsuredTable[[#This Row],[200 to 399% of FPL - No Health Insurance]]/UninsuredTable[[#This Row],[Total Uninsured Population]])</f>
        <v>574.63730172917758</v>
      </c>
      <c r="Q124">
        <v>35262</v>
      </c>
      <c r="R124">
        <v>1153</v>
      </c>
      <c r="S124" s="73">
        <f>UninsuredTable[[#This Row],[Alternate Adj Total Uninsured]]*(UninsuredTable[[#This Row],[400% FPL and over - No Health Insurance]]/UninsuredTable[[#This Row],[Total Uninsured Population]])</f>
        <v>892.93370470854688</v>
      </c>
    </row>
    <row r="125" spans="1:19" x14ac:dyDescent="0.3">
      <c r="A125">
        <v>21128</v>
      </c>
      <c r="B125" t="s">
        <v>1182</v>
      </c>
      <c r="C125" t="s">
        <v>992</v>
      </c>
      <c r="D125">
        <v>13842</v>
      </c>
      <c r="E125">
        <f t="shared" si="1"/>
        <v>273</v>
      </c>
      <c r="F12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273</v>
      </c>
      <c r="G12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273</v>
      </c>
      <c r="H125" s="28">
        <v>1005</v>
      </c>
      <c r="I125">
        <f>SUM(VLOOKUP(UninsuredTable[[#This Row],[ZIP code]],ModifiedBaseTable!B:R,11,0),VLOOKUP(UninsuredTable[[#This Row],[ZIP code]],ModifiedBaseTable!B:R,17,0))</f>
        <v>64</v>
      </c>
      <c r="J125" s="73">
        <f>UninsuredTable[[#This Row],[Alternate Adj Total Uninsured]]*(UninsuredTable[[#This Row],[Below 138% of FPL - No Health Insurance]]/UninsuredTable[[#This Row],[Total Uninsured Population]])</f>
        <v>64</v>
      </c>
      <c r="K125">
        <v>794</v>
      </c>
      <c r="L125">
        <v>19</v>
      </c>
      <c r="M125" s="73">
        <f>UninsuredTable[[#This Row],[Alternate Adj Total Uninsured]]*(UninsuredTable[[#This Row],[138% to 199% - No Health Insurance]]/UninsuredTable[[#This Row],[Total Uninsured Population]])</f>
        <v>19</v>
      </c>
      <c r="N125">
        <v>2807</v>
      </c>
      <c r="O125">
        <v>38</v>
      </c>
      <c r="P125" s="73">
        <f>UninsuredTable[[#This Row],[Alternate Adj Total Uninsured]]*(UninsuredTable[[#This Row],[200 to 399% of FPL - No Health Insurance]]/UninsuredTable[[#This Row],[Total Uninsured Population]])</f>
        <v>38</v>
      </c>
      <c r="Q125">
        <v>9236</v>
      </c>
      <c r="R125">
        <v>152</v>
      </c>
      <c r="S125" s="73">
        <f>UninsuredTable[[#This Row],[Alternate Adj Total Uninsured]]*(UninsuredTable[[#This Row],[400% FPL and over - No Health Insurance]]/UninsuredTable[[#This Row],[Total Uninsured Population]])</f>
        <v>152</v>
      </c>
    </row>
    <row r="126" spans="1:19" x14ac:dyDescent="0.3">
      <c r="A126">
        <v>21133</v>
      </c>
      <c r="B126" t="s">
        <v>1046</v>
      </c>
      <c r="C126" t="s">
        <v>992</v>
      </c>
      <c r="D126">
        <v>32592</v>
      </c>
      <c r="E126">
        <f t="shared" si="1"/>
        <v>1586</v>
      </c>
      <c r="F12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1072</v>
      </c>
      <c r="G12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1130.737373905155</v>
      </c>
      <c r="H126" s="28">
        <v>4004</v>
      </c>
      <c r="I126">
        <f>SUM(VLOOKUP(UninsuredTable[[#This Row],[ZIP code]],ModifiedBaseTable!B:R,11,0),VLOOKUP(UninsuredTable[[#This Row],[ZIP code]],ModifiedBaseTable!B:R,17,0))</f>
        <v>329</v>
      </c>
      <c r="J126" s="73">
        <f>UninsuredTable[[#This Row],[Alternate Adj Total Uninsured]]*(UninsuredTable[[#This Row],[Below 138% of FPL - No Health Insurance]]/UninsuredTable[[#This Row],[Total Uninsured Population]])</f>
        <v>234.56027491475157</v>
      </c>
      <c r="K126">
        <v>2074</v>
      </c>
      <c r="L126">
        <v>233</v>
      </c>
      <c r="M126" s="73">
        <f>UninsuredTable[[#This Row],[Alternate Adj Total Uninsured]]*(UninsuredTable[[#This Row],[138% to 199% - No Health Insurance]]/UninsuredTable[[#This Row],[Total Uninsured Population]])</f>
        <v>166.1171551827876</v>
      </c>
      <c r="N126">
        <v>9836</v>
      </c>
      <c r="O126">
        <v>604</v>
      </c>
      <c r="P126" s="73">
        <f>UninsuredTable[[#This Row],[Alternate Adj Total Uninsured]]*(UninsuredTable[[#This Row],[200 to 399% of FPL - No Health Insurance]]/UninsuredTable[[#This Row],[Total Uninsured Population]])</f>
        <v>430.62129498027343</v>
      </c>
      <c r="Q126">
        <v>16678</v>
      </c>
      <c r="R126">
        <v>420</v>
      </c>
      <c r="S126" s="73">
        <f>UninsuredTable[[#This Row],[Alternate Adj Total Uninsured]]*(UninsuredTable[[#This Row],[400% FPL and over - No Health Insurance]]/UninsuredTable[[#This Row],[Total Uninsured Population]])</f>
        <v>299.43864882734238</v>
      </c>
    </row>
    <row r="127" spans="1:19" x14ac:dyDescent="0.3">
      <c r="A127">
        <v>21136</v>
      </c>
      <c r="B127" t="s">
        <v>1028</v>
      </c>
      <c r="C127" t="s">
        <v>992</v>
      </c>
      <c r="D127">
        <v>33314</v>
      </c>
      <c r="E127">
        <f t="shared" si="1"/>
        <v>2780</v>
      </c>
      <c r="F12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1408.8000000000002</v>
      </c>
      <c r="G12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1652.1064390624103</v>
      </c>
      <c r="H127" s="28">
        <v>4725</v>
      </c>
      <c r="I127">
        <f>SUM(VLOOKUP(UninsuredTable[[#This Row],[ZIP code]],ModifiedBaseTable!B:R,11,0),VLOOKUP(UninsuredTable[[#This Row],[ZIP code]],ModifiedBaseTable!B:R,17,0))</f>
        <v>927</v>
      </c>
      <c r="J127" s="73">
        <f>UninsuredTable[[#This Row],[Alternate Adj Total Uninsured]]*(UninsuredTable[[#This Row],[Below 138% of FPL - No Health Insurance]]/UninsuredTable[[#This Row],[Total Uninsured Population]])</f>
        <v>550.90024065138641</v>
      </c>
      <c r="K127">
        <v>2217</v>
      </c>
      <c r="L127">
        <v>437</v>
      </c>
      <c r="M127" s="73">
        <f>UninsuredTable[[#This Row],[Alternate Adj Total Uninsured]]*(UninsuredTable[[#This Row],[138% to 199% - No Health Insurance]]/UninsuredTable[[#This Row],[Total Uninsured Population]])</f>
        <v>259.70162369434291</v>
      </c>
      <c r="N127">
        <v>9454</v>
      </c>
      <c r="O127">
        <v>848</v>
      </c>
      <c r="P127" s="73">
        <f>UninsuredTable[[#This Row],[Alternate Adj Total Uninsured]]*(UninsuredTable[[#This Row],[200 to 399% of FPL - No Health Insurance]]/UninsuredTable[[#This Row],[Total Uninsured Population]])</f>
        <v>503.95189220321004</v>
      </c>
      <c r="Q127">
        <v>16918</v>
      </c>
      <c r="R127">
        <v>568</v>
      </c>
      <c r="S127" s="73">
        <f>UninsuredTable[[#This Row],[Alternate Adj Total Uninsured]]*(UninsuredTable[[#This Row],[400% FPL and over - No Health Insurance]]/UninsuredTable[[#This Row],[Total Uninsured Population]])</f>
        <v>337.55268251347087</v>
      </c>
    </row>
    <row r="128" spans="1:19" x14ac:dyDescent="0.3">
      <c r="A128">
        <v>21144</v>
      </c>
      <c r="B128" t="s">
        <v>1037</v>
      </c>
      <c r="C128" t="s">
        <v>996</v>
      </c>
      <c r="D128">
        <v>34369</v>
      </c>
      <c r="E128">
        <f t="shared" si="1"/>
        <v>2140</v>
      </c>
      <c r="F12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1254.4000000000001</v>
      </c>
      <c r="G12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1390.9763328201166</v>
      </c>
      <c r="H128" s="28">
        <v>3635</v>
      </c>
      <c r="I128">
        <f>SUM(VLOOKUP(UninsuredTable[[#This Row],[ZIP code]],ModifiedBaseTable!B:R,11,0),VLOOKUP(UninsuredTable[[#This Row],[ZIP code]],ModifiedBaseTable!B:R,17,0))</f>
        <v>606</v>
      </c>
      <c r="J128" s="73">
        <f>UninsuredTable[[#This Row],[Alternate Adj Total Uninsured]]*(UninsuredTable[[#This Row],[Below 138% of FPL - No Health Insurance]]/UninsuredTable[[#This Row],[Total Uninsured Population]])</f>
        <v>393.89329798550966</v>
      </c>
      <c r="K128">
        <v>2104</v>
      </c>
      <c r="L128">
        <v>375</v>
      </c>
      <c r="M128" s="73">
        <f>UninsuredTable[[#This Row],[Alternate Adj Total Uninsured]]*(UninsuredTable[[#This Row],[138% to 199% - No Health Insurance]]/UninsuredTable[[#This Row],[Total Uninsured Population]])</f>
        <v>243.74585271380545</v>
      </c>
      <c r="N128">
        <v>8361</v>
      </c>
      <c r="O128">
        <v>508</v>
      </c>
      <c r="P128" s="73">
        <f>UninsuredTable[[#This Row],[Alternate Adj Total Uninsured]]*(UninsuredTable[[#This Row],[200 to 399% of FPL - No Health Insurance]]/UninsuredTable[[#This Row],[Total Uninsured Population]])</f>
        <v>330.1943818096351</v>
      </c>
      <c r="Q128">
        <v>20269</v>
      </c>
      <c r="R128">
        <v>651</v>
      </c>
      <c r="S128" s="73">
        <f>UninsuredTable[[#This Row],[Alternate Adj Total Uninsured]]*(UninsuredTable[[#This Row],[400% FPL and over - No Health Insurance]]/UninsuredTable[[#This Row],[Total Uninsured Population]])</f>
        <v>423.1428003111663</v>
      </c>
    </row>
    <row r="129" spans="1:19" x14ac:dyDescent="0.3">
      <c r="A129">
        <v>21146</v>
      </c>
      <c r="B129" t="s">
        <v>1136</v>
      </c>
      <c r="C129" t="s">
        <v>996</v>
      </c>
      <c r="D129">
        <v>27466</v>
      </c>
      <c r="E129">
        <f t="shared" si="1"/>
        <v>477</v>
      </c>
      <c r="F12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477</v>
      </c>
      <c r="G12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477</v>
      </c>
      <c r="H129" s="28">
        <v>1016</v>
      </c>
      <c r="I129">
        <f>SUM(VLOOKUP(UninsuredTable[[#This Row],[ZIP code]],ModifiedBaseTable!B:R,11,0),VLOOKUP(UninsuredTable[[#This Row],[ZIP code]],ModifiedBaseTable!B:R,17,0))</f>
        <v>33</v>
      </c>
      <c r="J129" s="73">
        <f>UninsuredTable[[#This Row],[Alternate Adj Total Uninsured]]*(UninsuredTable[[#This Row],[Below 138% of FPL - No Health Insurance]]/UninsuredTable[[#This Row],[Total Uninsured Population]])</f>
        <v>33</v>
      </c>
      <c r="K129">
        <v>1172</v>
      </c>
      <c r="L129">
        <v>5</v>
      </c>
      <c r="M129" s="73">
        <f>UninsuredTable[[#This Row],[Alternate Adj Total Uninsured]]*(UninsuredTable[[#This Row],[138% to 199% - No Health Insurance]]/UninsuredTable[[#This Row],[Total Uninsured Population]])</f>
        <v>5</v>
      </c>
      <c r="N129">
        <v>4075</v>
      </c>
      <c r="O129">
        <v>153</v>
      </c>
      <c r="P129" s="73">
        <f>UninsuredTable[[#This Row],[Alternate Adj Total Uninsured]]*(UninsuredTable[[#This Row],[200 to 399% of FPL - No Health Insurance]]/UninsuredTable[[#This Row],[Total Uninsured Population]])</f>
        <v>153</v>
      </c>
      <c r="Q129">
        <v>21203</v>
      </c>
      <c r="R129">
        <v>286</v>
      </c>
      <c r="S129" s="73">
        <f>UninsuredTable[[#This Row],[Alternate Adj Total Uninsured]]*(UninsuredTable[[#This Row],[400% FPL and over - No Health Insurance]]/UninsuredTable[[#This Row],[Total Uninsured Population]])</f>
        <v>286</v>
      </c>
    </row>
    <row r="130" spans="1:19" x14ac:dyDescent="0.3">
      <c r="A130">
        <v>21152</v>
      </c>
      <c r="B130" t="s">
        <v>1181</v>
      </c>
      <c r="C130" t="s">
        <v>992</v>
      </c>
      <c r="D130">
        <v>5854</v>
      </c>
      <c r="E130">
        <f t="shared" si="1"/>
        <v>326</v>
      </c>
      <c r="F13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326</v>
      </c>
      <c r="G13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326</v>
      </c>
      <c r="H130" s="28">
        <v>332</v>
      </c>
      <c r="I130">
        <f>SUM(VLOOKUP(UninsuredTable[[#This Row],[ZIP code]],ModifiedBaseTable!B:R,11,0),VLOOKUP(UninsuredTable[[#This Row],[ZIP code]],ModifiedBaseTable!B:R,17,0))</f>
        <v>25</v>
      </c>
      <c r="J130" s="73">
        <f>UninsuredTable[[#This Row],[Alternate Adj Total Uninsured]]*(UninsuredTable[[#This Row],[Below 138% of FPL - No Health Insurance]]/UninsuredTable[[#This Row],[Total Uninsured Population]])</f>
        <v>25</v>
      </c>
      <c r="K130">
        <v>318</v>
      </c>
      <c r="L130">
        <v>63</v>
      </c>
      <c r="M130" s="73">
        <f>UninsuredTable[[#This Row],[Alternate Adj Total Uninsured]]*(UninsuredTable[[#This Row],[138% to 199% - No Health Insurance]]/UninsuredTable[[#This Row],[Total Uninsured Population]])</f>
        <v>63</v>
      </c>
      <c r="N130">
        <v>1288</v>
      </c>
      <c r="O130">
        <v>60</v>
      </c>
      <c r="P130" s="73">
        <f>UninsuredTable[[#This Row],[Alternate Adj Total Uninsured]]*(UninsuredTable[[#This Row],[200 to 399% of FPL - No Health Insurance]]/UninsuredTable[[#This Row],[Total Uninsured Population]])</f>
        <v>60</v>
      </c>
      <c r="Q130">
        <v>3916</v>
      </c>
      <c r="R130">
        <v>178</v>
      </c>
      <c r="S130" s="73">
        <f>UninsuredTable[[#This Row],[Alternate Adj Total Uninsured]]*(UninsuredTable[[#This Row],[400% FPL and over - No Health Insurance]]/UninsuredTable[[#This Row],[Total Uninsured Population]])</f>
        <v>178</v>
      </c>
    </row>
    <row r="131" spans="1:19" x14ac:dyDescent="0.3">
      <c r="A131">
        <v>21154</v>
      </c>
      <c r="B131" t="s">
        <v>1163</v>
      </c>
      <c r="C131" t="s">
        <v>1045</v>
      </c>
      <c r="D131">
        <v>6007</v>
      </c>
      <c r="E131">
        <f t="shared" ref="E131:E194" si="2">I131+L131+O131+R131</f>
        <v>250</v>
      </c>
      <c r="F13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250</v>
      </c>
      <c r="G13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250</v>
      </c>
      <c r="H131" s="28">
        <v>739</v>
      </c>
      <c r="I131">
        <f>SUM(VLOOKUP(UninsuredTable[[#This Row],[ZIP code]],ModifiedBaseTable!B:R,11,0),VLOOKUP(UninsuredTable[[#This Row],[ZIP code]],ModifiedBaseTable!B:R,17,0))</f>
        <v>18</v>
      </c>
      <c r="J131" s="73">
        <f>UninsuredTable[[#This Row],[Alternate Adj Total Uninsured]]*(UninsuredTable[[#This Row],[Below 138% of FPL - No Health Insurance]]/UninsuredTable[[#This Row],[Total Uninsured Population]])</f>
        <v>18</v>
      </c>
      <c r="K131">
        <v>378</v>
      </c>
      <c r="L131">
        <v>37</v>
      </c>
      <c r="M131" s="73">
        <f>UninsuredTable[[#This Row],[Alternate Adj Total Uninsured]]*(UninsuredTable[[#This Row],[138% to 199% - No Health Insurance]]/UninsuredTable[[#This Row],[Total Uninsured Population]])</f>
        <v>37</v>
      </c>
      <c r="N131">
        <v>1364</v>
      </c>
      <c r="O131">
        <v>98</v>
      </c>
      <c r="P131" s="73">
        <f>UninsuredTable[[#This Row],[Alternate Adj Total Uninsured]]*(UninsuredTable[[#This Row],[200 to 399% of FPL - No Health Insurance]]/UninsuredTable[[#This Row],[Total Uninsured Population]])</f>
        <v>98</v>
      </c>
      <c r="Q131">
        <v>3526</v>
      </c>
      <c r="R131">
        <v>97</v>
      </c>
      <c r="S131" s="73">
        <f>UninsuredTable[[#This Row],[Alternate Adj Total Uninsured]]*(UninsuredTable[[#This Row],[400% FPL and over - No Health Insurance]]/UninsuredTable[[#This Row],[Total Uninsured Population]])</f>
        <v>97</v>
      </c>
    </row>
    <row r="132" spans="1:19" x14ac:dyDescent="0.3">
      <c r="A132">
        <v>21157</v>
      </c>
      <c r="B132" t="s">
        <v>1040</v>
      </c>
      <c r="C132" t="s">
        <v>1041</v>
      </c>
      <c r="D132">
        <v>35361</v>
      </c>
      <c r="E132">
        <f t="shared" si="2"/>
        <v>1541</v>
      </c>
      <c r="F13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1040.8</v>
      </c>
      <c r="G13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1098.1047550294195</v>
      </c>
      <c r="H132" s="28">
        <v>3761</v>
      </c>
      <c r="I132">
        <f>SUM(VLOOKUP(UninsuredTable[[#This Row],[ZIP code]],ModifiedBaseTable!B:R,11,0),VLOOKUP(UninsuredTable[[#This Row],[ZIP code]],ModifiedBaseTable!B:R,17,0))</f>
        <v>448</v>
      </c>
      <c r="J132" s="73">
        <f>UninsuredTable[[#This Row],[Alternate Adj Total Uninsured]]*(UninsuredTable[[#This Row],[Below 138% of FPL - No Health Insurance]]/UninsuredTable[[#This Row],[Total Uninsured Population]])</f>
        <v>319.24135642646331</v>
      </c>
      <c r="K132">
        <v>2834</v>
      </c>
      <c r="L132">
        <v>211</v>
      </c>
      <c r="M132" s="73">
        <f>UninsuredTable[[#This Row],[Alternate Adj Total Uninsured]]*(UninsuredTable[[#This Row],[138% to 199% - No Health Insurance]]/UninsuredTable[[#This Row],[Total Uninsured Population]])</f>
        <v>150.3569781383566</v>
      </c>
      <c r="N132">
        <v>9574</v>
      </c>
      <c r="O132">
        <v>617</v>
      </c>
      <c r="P132" s="73">
        <f>UninsuredTable[[#This Row],[Alternate Adj Total Uninsured]]*(UninsuredTable[[#This Row],[200 to 399% of FPL - No Health Insurance]]/UninsuredTable[[#This Row],[Total Uninsured Population]])</f>
        <v>439.66945739983896</v>
      </c>
      <c r="Q132">
        <v>19192</v>
      </c>
      <c r="R132">
        <v>265</v>
      </c>
      <c r="S132" s="73">
        <f>UninsuredTable[[#This Row],[Alternate Adj Total Uninsured]]*(UninsuredTable[[#This Row],[400% FPL and over - No Health Insurance]]/UninsuredTable[[#This Row],[Total Uninsured Population]])</f>
        <v>188.83696306476065</v>
      </c>
    </row>
    <row r="133" spans="1:19" x14ac:dyDescent="0.3">
      <c r="A133">
        <v>21158</v>
      </c>
      <c r="B133" t="s">
        <v>1040</v>
      </c>
      <c r="C133" t="s">
        <v>1041</v>
      </c>
      <c r="D133">
        <v>20407</v>
      </c>
      <c r="E133">
        <f t="shared" si="2"/>
        <v>754</v>
      </c>
      <c r="F13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754</v>
      </c>
      <c r="G13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754</v>
      </c>
      <c r="H133" s="28">
        <v>1668</v>
      </c>
      <c r="I133">
        <f>SUM(VLOOKUP(UninsuredTable[[#This Row],[ZIP code]],ModifiedBaseTable!B:R,11,0),VLOOKUP(UninsuredTable[[#This Row],[ZIP code]],ModifiedBaseTable!B:R,17,0))</f>
        <v>80</v>
      </c>
      <c r="J133" s="73">
        <f>UninsuredTable[[#This Row],[Alternate Adj Total Uninsured]]*(UninsuredTable[[#This Row],[Below 138% of FPL - No Health Insurance]]/UninsuredTable[[#This Row],[Total Uninsured Population]])</f>
        <v>80</v>
      </c>
      <c r="K133">
        <v>1189</v>
      </c>
      <c r="L133">
        <v>150</v>
      </c>
      <c r="M133" s="73">
        <f>UninsuredTable[[#This Row],[Alternate Adj Total Uninsured]]*(UninsuredTable[[#This Row],[138% to 199% - No Health Insurance]]/UninsuredTable[[#This Row],[Total Uninsured Population]])</f>
        <v>150</v>
      </c>
      <c r="N133">
        <v>6079</v>
      </c>
      <c r="O133">
        <v>304</v>
      </c>
      <c r="P133" s="73">
        <f>UninsuredTable[[#This Row],[Alternate Adj Total Uninsured]]*(UninsuredTable[[#This Row],[200 to 399% of FPL - No Health Insurance]]/UninsuredTable[[#This Row],[Total Uninsured Population]])</f>
        <v>304</v>
      </c>
      <c r="Q133">
        <v>11471</v>
      </c>
      <c r="R133">
        <v>220</v>
      </c>
      <c r="S133" s="73">
        <f>UninsuredTable[[#This Row],[Alternate Adj Total Uninsured]]*(UninsuredTable[[#This Row],[400% FPL and over - No Health Insurance]]/UninsuredTable[[#This Row],[Total Uninsured Population]])</f>
        <v>220</v>
      </c>
    </row>
    <row r="134" spans="1:19" x14ac:dyDescent="0.3">
      <c r="A134">
        <v>21029</v>
      </c>
      <c r="B134" t="s">
        <v>1172</v>
      </c>
      <c r="C134" t="s">
        <v>1038</v>
      </c>
      <c r="D134">
        <v>11031</v>
      </c>
      <c r="E134">
        <f t="shared" si="2"/>
        <v>314</v>
      </c>
      <c r="F13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314</v>
      </c>
      <c r="G13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314</v>
      </c>
      <c r="H134" s="28">
        <v>210</v>
      </c>
      <c r="I134">
        <f>SUM(VLOOKUP(UninsuredTable[[#This Row],[ZIP code]],ModifiedBaseTable!B:R,11,0),VLOOKUP(UninsuredTable[[#This Row],[ZIP code]],ModifiedBaseTable!B:R,17,0))</f>
        <v>6</v>
      </c>
      <c r="J134" s="73">
        <f>UninsuredTable[[#This Row],[Alternate Adj Total Uninsured]]*(UninsuredTable[[#This Row],[Below 138% of FPL - No Health Insurance]]/UninsuredTable[[#This Row],[Total Uninsured Population]])</f>
        <v>6</v>
      </c>
      <c r="K134">
        <v>104</v>
      </c>
      <c r="L134">
        <v>18</v>
      </c>
      <c r="M134" s="73">
        <f>UninsuredTable[[#This Row],[Alternate Adj Total Uninsured]]*(UninsuredTable[[#This Row],[138% to 199% - No Health Insurance]]/UninsuredTable[[#This Row],[Total Uninsured Population]])</f>
        <v>18</v>
      </c>
      <c r="N134">
        <v>1101</v>
      </c>
      <c r="O134">
        <v>149</v>
      </c>
      <c r="P134" s="73">
        <f>UninsuredTable[[#This Row],[Alternate Adj Total Uninsured]]*(UninsuredTable[[#This Row],[200 to 399% of FPL - No Health Insurance]]/UninsuredTable[[#This Row],[Total Uninsured Population]])</f>
        <v>149</v>
      </c>
      <c r="Q134">
        <v>9616</v>
      </c>
      <c r="R134">
        <v>141</v>
      </c>
      <c r="S134" s="73">
        <f>UninsuredTable[[#This Row],[Alternate Adj Total Uninsured]]*(UninsuredTable[[#This Row],[400% FPL and over - No Health Insurance]]/UninsuredTable[[#This Row],[Total Uninsured Population]])</f>
        <v>141</v>
      </c>
    </row>
    <row r="135" spans="1:19" x14ac:dyDescent="0.3">
      <c r="A135">
        <v>21201</v>
      </c>
      <c r="B135" t="s">
        <v>992</v>
      </c>
      <c r="C135" t="s">
        <v>993</v>
      </c>
      <c r="D135">
        <v>15947</v>
      </c>
      <c r="E135">
        <f t="shared" si="2"/>
        <v>923</v>
      </c>
      <c r="F13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923</v>
      </c>
      <c r="G13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923</v>
      </c>
      <c r="H135" s="28">
        <v>6412</v>
      </c>
      <c r="I135">
        <f>SUM(VLOOKUP(UninsuredTable[[#This Row],[ZIP code]],ModifiedBaseTable!B:R,11,0),VLOOKUP(UninsuredTable[[#This Row],[ZIP code]],ModifiedBaseTable!B:R,17,0))</f>
        <v>366</v>
      </c>
      <c r="J135" s="73">
        <f>UninsuredTable[[#This Row],[Alternate Adj Total Uninsured]]*(UninsuredTable[[#This Row],[Below 138% of FPL - No Health Insurance]]/UninsuredTable[[#This Row],[Total Uninsured Population]])</f>
        <v>366</v>
      </c>
      <c r="K135">
        <v>1985</v>
      </c>
      <c r="L135">
        <v>151</v>
      </c>
      <c r="M135" s="73">
        <f>UninsuredTable[[#This Row],[Alternate Adj Total Uninsured]]*(UninsuredTable[[#This Row],[138% to 199% - No Health Insurance]]/UninsuredTable[[#This Row],[Total Uninsured Population]])</f>
        <v>151</v>
      </c>
      <c r="N135">
        <v>3137</v>
      </c>
      <c r="O135">
        <v>145</v>
      </c>
      <c r="P135" s="73">
        <f>UninsuredTable[[#This Row],[Alternate Adj Total Uninsured]]*(UninsuredTable[[#This Row],[200 to 399% of FPL - No Health Insurance]]/UninsuredTable[[#This Row],[Total Uninsured Population]])</f>
        <v>145</v>
      </c>
      <c r="Q135">
        <v>4413</v>
      </c>
      <c r="R135">
        <v>261</v>
      </c>
      <c r="S135" s="73">
        <f>UninsuredTable[[#This Row],[Alternate Adj Total Uninsured]]*(UninsuredTable[[#This Row],[400% FPL and over - No Health Insurance]]/UninsuredTable[[#This Row],[Total Uninsured Population]])</f>
        <v>261</v>
      </c>
    </row>
    <row r="136" spans="1:19" x14ac:dyDescent="0.3">
      <c r="A136">
        <v>21202</v>
      </c>
      <c r="B136" t="s">
        <v>992</v>
      </c>
      <c r="C136" t="s">
        <v>993</v>
      </c>
      <c r="D136">
        <v>16754</v>
      </c>
      <c r="E136">
        <f t="shared" si="2"/>
        <v>1099</v>
      </c>
      <c r="F13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776.80000000000007</v>
      </c>
      <c r="G13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807.36253601569047</v>
      </c>
      <c r="H136" s="28">
        <v>6054</v>
      </c>
      <c r="I136">
        <f>SUM(VLOOKUP(UninsuredTable[[#This Row],[ZIP code]],ModifiedBaseTable!B:R,11,0),VLOOKUP(UninsuredTable[[#This Row],[ZIP code]],ModifiedBaseTable!B:R,17,0))</f>
        <v>571</v>
      </c>
      <c r="J136" s="73">
        <f>UninsuredTable[[#This Row],[Alternate Adj Total Uninsured]]*(UninsuredTable[[#This Row],[Below 138% of FPL - No Health Insurance]]/UninsuredTable[[#This Row],[Total Uninsured Population]])</f>
        <v>419.47589450860715</v>
      </c>
      <c r="K136">
        <v>1985</v>
      </c>
      <c r="L136">
        <v>192</v>
      </c>
      <c r="M136" s="73">
        <f>UninsuredTable[[#This Row],[Alternate Adj Total Uninsured]]*(UninsuredTable[[#This Row],[138% to 199% - No Health Insurance]]/UninsuredTable[[#This Row],[Total Uninsured Population]])</f>
        <v>141.04968782075758</v>
      </c>
      <c r="N136">
        <v>3896</v>
      </c>
      <c r="O136">
        <v>276</v>
      </c>
      <c r="P136" s="73">
        <f>UninsuredTable[[#This Row],[Alternate Adj Total Uninsured]]*(UninsuredTable[[#This Row],[200 to 399% of FPL - No Health Insurance]]/UninsuredTable[[#This Row],[Total Uninsured Population]])</f>
        <v>202.75892624233902</v>
      </c>
      <c r="Q136">
        <v>4819</v>
      </c>
      <c r="R136">
        <v>60</v>
      </c>
      <c r="S136" s="73">
        <f>UninsuredTable[[#This Row],[Alternate Adj Total Uninsured]]*(UninsuredTable[[#This Row],[400% FPL and over - No Health Insurance]]/UninsuredTable[[#This Row],[Total Uninsured Population]])</f>
        <v>44.078027443986741</v>
      </c>
    </row>
    <row r="137" spans="1:19" x14ac:dyDescent="0.3">
      <c r="A137">
        <v>21204</v>
      </c>
      <c r="B137" t="s">
        <v>1090</v>
      </c>
      <c r="C137" t="s">
        <v>992</v>
      </c>
      <c r="D137">
        <v>17626</v>
      </c>
      <c r="E137">
        <f t="shared" si="2"/>
        <v>723</v>
      </c>
      <c r="F13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723</v>
      </c>
      <c r="G13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723</v>
      </c>
      <c r="H137" s="28">
        <v>3123</v>
      </c>
      <c r="I137">
        <f>SUM(VLOOKUP(UninsuredTable[[#This Row],[ZIP code]],ModifiedBaseTable!B:R,11,0),VLOOKUP(UninsuredTable[[#This Row],[ZIP code]],ModifiedBaseTable!B:R,17,0))</f>
        <v>213</v>
      </c>
      <c r="J137" s="73">
        <f>UninsuredTable[[#This Row],[Alternate Adj Total Uninsured]]*(UninsuredTable[[#This Row],[Below 138% of FPL - No Health Insurance]]/UninsuredTable[[#This Row],[Total Uninsured Population]])</f>
        <v>213</v>
      </c>
      <c r="K137">
        <v>861</v>
      </c>
      <c r="L137">
        <v>170</v>
      </c>
      <c r="M137" s="73">
        <f>UninsuredTable[[#This Row],[Alternate Adj Total Uninsured]]*(UninsuredTable[[#This Row],[138% to 199% - No Health Insurance]]/UninsuredTable[[#This Row],[Total Uninsured Population]])</f>
        <v>170</v>
      </c>
      <c r="N137">
        <v>3092</v>
      </c>
      <c r="O137">
        <v>83</v>
      </c>
      <c r="P137" s="73">
        <f>UninsuredTable[[#This Row],[Alternate Adj Total Uninsured]]*(UninsuredTable[[#This Row],[200 to 399% of FPL - No Health Insurance]]/UninsuredTable[[#This Row],[Total Uninsured Population]])</f>
        <v>83</v>
      </c>
      <c r="Q137">
        <v>10550</v>
      </c>
      <c r="R137">
        <v>257</v>
      </c>
      <c r="S137" s="73">
        <f>UninsuredTable[[#This Row],[Alternate Adj Total Uninsured]]*(UninsuredTable[[#This Row],[400% FPL and over - No Health Insurance]]/UninsuredTable[[#This Row],[Total Uninsured Population]])</f>
        <v>257</v>
      </c>
    </row>
    <row r="138" spans="1:19" x14ac:dyDescent="0.3">
      <c r="A138">
        <v>21205</v>
      </c>
      <c r="B138" t="s">
        <v>992</v>
      </c>
      <c r="C138" t="s">
        <v>993</v>
      </c>
      <c r="D138">
        <v>14602</v>
      </c>
      <c r="E138">
        <f t="shared" si="2"/>
        <v>1694</v>
      </c>
      <c r="F13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1064.8</v>
      </c>
      <c r="G13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1151.473441981997</v>
      </c>
      <c r="H138" s="28">
        <v>6915</v>
      </c>
      <c r="I138">
        <f>SUM(VLOOKUP(UninsuredTable[[#This Row],[ZIP code]],ModifiedBaseTable!B:R,11,0),VLOOKUP(UninsuredTable[[#This Row],[ZIP code]],ModifiedBaseTable!B:R,17,0))</f>
        <v>642</v>
      </c>
      <c r="J138" s="73">
        <f>UninsuredTable[[#This Row],[Alternate Adj Total Uninsured]]*(UninsuredTable[[#This Row],[Below 138% of FPL - No Health Insurance]]/UninsuredTable[[#This Row],[Total Uninsured Population]])</f>
        <v>436.39076136507794</v>
      </c>
      <c r="K138">
        <v>2377</v>
      </c>
      <c r="L138">
        <v>289</v>
      </c>
      <c r="M138" s="73">
        <f>UninsuredTable[[#This Row],[Alternate Adj Total Uninsured]]*(UninsuredTable[[#This Row],[138% to 199% - No Health Insurance]]/UninsuredTable[[#This Row],[Total Uninsured Population]])</f>
        <v>196.44381625312698</v>
      </c>
      <c r="N138">
        <v>3662</v>
      </c>
      <c r="O138">
        <v>495</v>
      </c>
      <c r="P138" s="73">
        <f>UninsuredTable[[#This Row],[Alternate Adj Total Uninsured]]*(UninsuredTable[[#This Row],[200 to 399% of FPL - No Health Insurance]]/UninsuredTable[[#This Row],[Total Uninsured Population]])</f>
        <v>336.46951226746665</v>
      </c>
      <c r="Q138">
        <v>1648</v>
      </c>
      <c r="R138">
        <v>268</v>
      </c>
      <c r="S138" s="73">
        <f>UninsuredTable[[#This Row],[Alternate Adj Total Uninsured]]*(UninsuredTable[[#This Row],[400% FPL and over - No Health Insurance]]/UninsuredTable[[#This Row],[Total Uninsured Population]])</f>
        <v>182.16935209632538</v>
      </c>
    </row>
    <row r="139" spans="1:19" x14ac:dyDescent="0.3">
      <c r="A139">
        <v>21206</v>
      </c>
      <c r="B139" t="s">
        <v>992</v>
      </c>
      <c r="C139" t="s">
        <v>993</v>
      </c>
      <c r="D139">
        <v>50527</v>
      </c>
      <c r="E139">
        <f t="shared" si="2"/>
        <v>3303</v>
      </c>
      <c r="F13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2126.4</v>
      </c>
      <c r="G13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2280.406529141565</v>
      </c>
      <c r="H139" s="28">
        <v>10315</v>
      </c>
      <c r="I139">
        <f>SUM(VLOOKUP(UninsuredTable[[#This Row],[ZIP code]],ModifiedBaseTable!B:R,11,0),VLOOKUP(UninsuredTable[[#This Row],[ZIP code]],ModifiedBaseTable!B:R,17,0))</f>
        <v>1131</v>
      </c>
      <c r="J139" s="73">
        <f>UninsuredTable[[#This Row],[Alternate Adj Total Uninsured]]*(UninsuredTable[[#This Row],[Below 138% of FPL - No Health Insurance]]/UninsuredTable[[#This Row],[Total Uninsured Population]])</f>
        <v>780.84764894311536</v>
      </c>
      <c r="K139">
        <v>7467</v>
      </c>
      <c r="L139">
        <v>563</v>
      </c>
      <c r="M139" s="73">
        <f>UninsuredTable[[#This Row],[Alternate Adj Total Uninsured]]*(UninsuredTable[[#This Row],[138% to 199% - No Health Insurance]]/UninsuredTable[[#This Row],[Total Uninsured Population]])</f>
        <v>388.69781286911933</v>
      </c>
      <c r="N139">
        <v>16176</v>
      </c>
      <c r="O139">
        <v>754</v>
      </c>
      <c r="P139" s="73">
        <f>UninsuredTable[[#This Row],[Alternate Adj Total Uninsured]]*(UninsuredTable[[#This Row],[200 to 399% of FPL - No Health Insurance]]/UninsuredTable[[#This Row],[Total Uninsured Population]])</f>
        <v>520.56509929541028</v>
      </c>
      <c r="Q139">
        <v>16569</v>
      </c>
      <c r="R139">
        <v>855</v>
      </c>
      <c r="S139" s="73">
        <f>UninsuredTable[[#This Row],[Alternate Adj Total Uninsured]]*(UninsuredTable[[#This Row],[400% FPL and over - No Health Insurance]]/UninsuredTable[[#This Row],[Total Uninsured Population]])</f>
        <v>590.29596803392008</v>
      </c>
    </row>
    <row r="140" spans="1:19" x14ac:dyDescent="0.3">
      <c r="A140">
        <v>21207</v>
      </c>
      <c r="B140" t="s">
        <v>1008</v>
      </c>
      <c r="C140" t="s">
        <v>992</v>
      </c>
      <c r="D140">
        <v>47833</v>
      </c>
      <c r="E140">
        <f t="shared" si="2"/>
        <v>3578</v>
      </c>
      <c r="F14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2205.6</v>
      </c>
      <c r="G14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2401.6300161631393</v>
      </c>
      <c r="H140" s="28">
        <v>8504</v>
      </c>
      <c r="I140">
        <f>SUM(VLOOKUP(UninsuredTable[[#This Row],[ZIP code]],ModifiedBaseTable!B:R,11,0),VLOOKUP(UninsuredTable[[#This Row],[ZIP code]],ModifiedBaseTable!B:R,17,0))</f>
        <v>946</v>
      </c>
      <c r="J140" s="73">
        <f>UninsuredTable[[#This Row],[Alternate Adj Total Uninsured]]*(UninsuredTable[[#This Row],[Below 138% of FPL - No Health Insurance]]/UninsuredTable[[#This Row],[Total Uninsured Population]])</f>
        <v>634.97540393804638</v>
      </c>
      <c r="K140">
        <v>5566</v>
      </c>
      <c r="L140">
        <v>400</v>
      </c>
      <c r="M140" s="73">
        <f>UninsuredTable[[#This Row],[Alternate Adj Total Uninsured]]*(UninsuredTable[[#This Row],[138% to 199% - No Health Insurance]]/UninsuredTable[[#This Row],[Total Uninsured Population]])</f>
        <v>268.48854289135153</v>
      </c>
      <c r="N140">
        <v>16972</v>
      </c>
      <c r="O140">
        <v>1737</v>
      </c>
      <c r="P140" s="73">
        <f>UninsuredTable[[#This Row],[Alternate Adj Total Uninsured]]*(UninsuredTable[[#This Row],[200 to 399% of FPL - No Health Insurance]]/UninsuredTable[[#This Row],[Total Uninsured Population]])</f>
        <v>1165.9114975056939</v>
      </c>
      <c r="Q140">
        <v>16791</v>
      </c>
      <c r="R140">
        <v>495</v>
      </c>
      <c r="S140" s="73">
        <f>UninsuredTable[[#This Row],[Alternate Adj Total Uninsured]]*(UninsuredTable[[#This Row],[400% FPL and over - No Health Insurance]]/UninsuredTable[[#This Row],[Total Uninsured Population]])</f>
        <v>332.25457182804752</v>
      </c>
    </row>
    <row r="141" spans="1:19" x14ac:dyDescent="0.3">
      <c r="A141">
        <v>21208</v>
      </c>
      <c r="B141" t="s">
        <v>1049</v>
      </c>
      <c r="C141" t="s">
        <v>992</v>
      </c>
      <c r="D141">
        <v>36045</v>
      </c>
      <c r="E141">
        <f t="shared" si="2"/>
        <v>1728</v>
      </c>
      <c r="F14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986.40000000000009</v>
      </c>
      <c r="G14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1104.5910572481778</v>
      </c>
      <c r="H141" s="28">
        <v>4937</v>
      </c>
      <c r="I141">
        <f>SUM(VLOOKUP(UninsuredTable[[#This Row],[ZIP code]],ModifiedBaseTable!B:R,11,0),VLOOKUP(UninsuredTable[[#This Row],[ZIP code]],ModifiedBaseTable!B:R,17,0))</f>
        <v>401</v>
      </c>
      <c r="J141" s="73">
        <f>UninsuredTable[[#This Row],[Alternate Adj Total Uninsured]]*(UninsuredTable[[#This Row],[Below 138% of FPL - No Health Insurance]]/UninsuredTable[[#This Row],[Total Uninsured Population]])</f>
        <v>256.3316052989116</v>
      </c>
      <c r="K141">
        <v>2838</v>
      </c>
      <c r="L141">
        <v>222</v>
      </c>
      <c r="M141" s="73">
        <f>UninsuredTable[[#This Row],[Alternate Adj Total Uninsured]]*(UninsuredTable[[#This Row],[138% to 199% - No Health Insurance]]/UninsuredTable[[#This Row],[Total Uninsured Population]])</f>
        <v>141.90926777146726</v>
      </c>
      <c r="N141">
        <v>9674</v>
      </c>
      <c r="O141">
        <v>911</v>
      </c>
      <c r="P141" s="73">
        <f>UninsuredTable[[#This Row],[Alternate Adj Total Uninsured]]*(UninsuredTable[[#This Row],[200 to 399% of FPL - No Health Insurance]]/UninsuredTable[[#This Row],[Total Uninsured Population]])</f>
        <v>582.33938261174183</v>
      </c>
      <c r="Q141">
        <v>18596</v>
      </c>
      <c r="R141">
        <v>194</v>
      </c>
      <c r="S141" s="73">
        <f>UninsuredTable[[#This Row],[Alternate Adj Total Uninsured]]*(UninsuredTable[[#This Row],[400% FPL and over - No Health Insurance]]/UninsuredTable[[#This Row],[Total Uninsured Population]])</f>
        <v>124.010801566057</v>
      </c>
    </row>
    <row r="142" spans="1:19" x14ac:dyDescent="0.3">
      <c r="A142">
        <v>21209</v>
      </c>
      <c r="B142" t="s">
        <v>992</v>
      </c>
      <c r="C142" t="s">
        <v>993</v>
      </c>
      <c r="D142">
        <v>27428</v>
      </c>
      <c r="E142">
        <f t="shared" si="2"/>
        <v>796</v>
      </c>
      <c r="F14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796</v>
      </c>
      <c r="G14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796</v>
      </c>
      <c r="H142" s="28">
        <v>3503</v>
      </c>
      <c r="I142">
        <f>SUM(VLOOKUP(UninsuredTable[[#This Row],[ZIP code]],ModifiedBaseTable!B:R,11,0),VLOOKUP(UninsuredTable[[#This Row],[ZIP code]],ModifiedBaseTable!B:R,17,0))</f>
        <v>206</v>
      </c>
      <c r="J142" s="73">
        <f>UninsuredTable[[#This Row],[Alternate Adj Total Uninsured]]*(UninsuredTable[[#This Row],[Below 138% of FPL - No Health Insurance]]/UninsuredTable[[#This Row],[Total Uninsured Population]])</f>
        <v>206</v>
      </c>
      <c r="K142">
        <v>1425</v>
      </c>
      <c r="L142">
        <v>66</v>
      </c>
      <c r="M142" s="73">
        <f>UninsuredTable[[#This Row],[Alternate Adj Total Uninsured]]*(UninsuredTable[[#This Row],[138% to 199% - No Health Insurance]]/UninsuredTable[[#This Row],[Total Uninsured Population]])</f>
        <v>66</v>
      </c>
      <c r="N142">
        <v>6978</v>
      </c>
      <c r="O142">
        <v>258</v>
      </c>
      <c r="P142" s="73">
        <f>UninsuredTable[[#This Row],[Alternate Adj Total Uninsured]]*(UninsuredTable[[#This Row],[200 to 399% of FPL - No Health Insurance]]/UninsuredTable[[#This Row],[Total Uninsured Population]])</f>
        <v>258</v>
      </c>
      <c r="Q142">
        <v>15522</v>
      </c>
      <c r="R142">
        <v>266</v>
      </c>
      <c r="S142" s="73">
        <f>UninsuredTable[[#This Row],[Alternate Adj Total Uninsured]]*(UninsuredTable[[#This Row],[400% FPL and over - No Health Insurance]]/UninsuredTable[[#This Row],[Total Uninsured Population]])</f>
        <v>266</v>
      </c>
    </row>
    <row r="143" spans="1:19" x14ac:dyDescent="0.3">
      <c r="A143">
        <v>21210</v>
      </c>
      <c r="B143" t="s">
        <v>992</v>
      </c>
      <c r="C143" t="s">
        <v>993</v>
      </c>
      <c r="D143">
        <v>11155</v>
      </c>
      <c r="E143">
        <f t="shared" si="2"/>
        <v>332</v>
      </c>
      <c r="F14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332</v>
      </c>
      <c r="G14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332</v>
      </c>
      <c r="H143" s="28">
        <v>1178</v>
      </c>
      <c r="I143">
        <f>SUM(VLOOKUP(UninsuredTable[[#This Row],[ZIP code]],ModifiedBaseTable!B:R,11,0),VLOOKUP(UninsuredTable[[#This Row],[ZIP code]],ModifiedBaseTable!B:R,17,0))</f>
        <v>147</v>
      </c>
      <c r="J143" s="73">
        <f>UninsuredTable[[#This Row],[Alternate Adj Total Uninsured]]*(UninsuredTable[[#This Row],[Below 138% of FPL - No Health Insurance]]/UninsuredTable[[#This Row],[Total Uninsured Population]])</f>
        <v>147</v>
      </c>
      <c r="K143">
        <v>489</v>
      </c>
      <c r="L143">
        <v>34</v>
      </c>
      <c r="M143" s="73">
        <f>UninsuredTable[[#This Row],[Alternate Adj Total Uninsured]]*(UninsuredTable[[#This Row],[138% to 199% - No Health Insurance]]/UninsuredTable[[#This Row],[Total Uninsured Population]])</f>
        <v>34</v>
      </c>
      <c r="N143">
        <v>1674</v>
      </c>
      <c r="O143">
        <v>32</v>
      </c>
      <c r="P143" s="73">
        <f>UninsuredTable[[#This Row],[Alternate Adj Total Uninsured]]*(UninsuredTable[[#This Row],[200 to 399% of FPL - No Health Insurance]]/UninsuredTable[[#This Row],[Total Uninsured Population]])</f>
        <v>32</v>
      </c>
      <c r="Q143">
        <v>7814</v>
      </c>
      <c r="R143">
        <v>119</v>
      </c>
      <c r="S143" s="73">
        <f>UninsuredTable[[#This Row],[Alternate Adj Total Uninsured]]*(UninsuredTable[[#This Row],[400% FPL and over - No Health Insurance]]/UninsuredTable[[#This Row],[Total Uninsured Population]])</f>
        <v>119</v>
      </c>
    </row>
    <row r="144" spans="1:19" x14ac:dyDescent="0.3">
      <c r="A144">
        <v>21211</v>
      </c>
      <c r="B144" t="s">
        <v>992</v>
      </c>
      <c r="C144" t="s">
        <v>993</v>
      </c>
      <c r="D144">
        <v>15985</v>
      </c>
      <c r="E144">
        <f t="shared" si="2"/>
        <v>862</v>
      </c>
      <c r="F14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862</v>
      </c>
      <c r="G14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862</v>
      </c>
      <c r="H144" s="28">
        <v>2625</v>
      </c>
      <c r="I144">
        <f>SUM(VLOOKUP(UninsuredTable[[#This Row],[ZIP code]],ModifiedBaseTable!B:R,11,0),VLOOKUP(UninsuredTable[[#This Row],[ZIP code]],ModifiedBaseTable!B:R,17,0))</f>
        <v>318</v>
      </c>
      <c r="J144" s="73">
        <f>UninsuredTable[[#This Row],[Alternate Adj Total Uninsured]]*(UninsuredTable[[#This Row],[Below 138% of FPL - No Health Insurance]]/UninsuredTable[[#This Row],[Total Uninsured Population]])</f>
        <v>318</v>
      </c>
      <c r="K144">
        <v>1572</v>
      </c>
      <c r="L144">
        <v>125</v>
      </c>
      <c r="M144" s="73">
        <f>UninsuredTable[[#This Row],[Alternate Adj Total Uninsured]]*(UninsuredTable[[#This Row],[138% to 199% - No Health Insurance]]/UninsuredTable[[#This Row],[Total Uninsured Population]])</f>
        <v>125</v>
      </c>
      <c r="N144">
        <v>4874</v>
      </c>
      <c r="O144">
        <v>240</v>
      </c>
      <c r="P144" s="73">
        <f>UninsuredTable[[#This Row],[Alternate Adj Total Uninsured]]*(UninsuredTable[[#This Row],[200 to 399% of FPL - No Health Insurance]]/UninsuredTable[[#This Row],[Total Uninsured Population]])</f>
        <v>240</v>
      </c>
      <c r="Q144">
        <v>6914</v>
      </c>
      <c r="R144">
        <v>179</v>
      </c>
      <c r="S144" s="73">
        <f>UninsuredTable[[#This Row],[Alternate Adj Total Uninsured]]*(UninsuredTable[[#This Row],[400% FPL and over - No Health Insurance]]/UninsuredTable[[#This Row],[Total Uninsured Population]])</f>
        <v>179</v>
      </c>
    </row>
    <row r="145" spans="1:19" x14ac:dyDescent="0.3">
      <c r="A145">
        <v>21212</v>
      </c>
      <c r="B145" t="s">
        <v>992</v>
      </c>
      <c r="C145" t="s">
        <v>993</v>
      </c>
      <c r="D145">
        <v>33560</v>
      </c>
      <c r="E145">
        <f t="shared" si="2"/>
        <v>1956</v>
      </c>
      <c r="F14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1260</v>
      </c>
      <c r="G14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1350.9712986092036</v>
      </c>
      <c r="H145" s="28">
        <v>5832</v>
      </c>
      <c r="I145">
        <f>SUM(VLOOKUP(UninsuredTable[[#This Row],[ZIP code]],ModifiedBaseTable!B:R,11,0),VLOOKUP(UninsuredTable[[#This Row],[ZIP code]],ModifiedBaseTable!B:R,17,0))</f>
        <v>760</v>
      </c>
      <c r="J145" s="73">
        <f>UninsuredTable[[#This Row],[Alternate Adj Total Uninsured]]*(UninsuredTable[[#This Row],[Below 138% of FPL - No Health Insurance]]/UninsuredTable[[#This Row],[Total Uninsured Population]])</f>
        <v>524.91727348823861</v>
      </c>
      <c r="K145">
        <v>3082</v>
      </c>
      <c r="L145">
        <v>416</v>
      </c>
      <c r="M145" s="73">
        <f>UninsuredTable[[#This Row],[Alternate Adj Total Uninsured]]*(UninsuredTable[[#This Row],[138% to 199% - No Health Insurance]]/UninsuredTable[[#This Row],[Total Uninsured Population]])</f>
        <v>287.32313917250957</v>
      </c>
      <c r="N145">
        <v>7637</v>
      </c>
      <c r="O145">
        <v>399</v>
      </c>
      <c r="P145" s="73">
        <f>UninsuredTable[[#This Row],[Alternate Adj Total Uninsured]]*(UninsuredTable[[#This Row],[200 to 399% of FPL - No Health Insurance]]/UninsuredTable[[#This Row],[Total Uninsured Population]])</f>
        <v>275.58156858132526</v>
      </c>
      <c r="Q145">
        <v>17009</v>
      </c>
      <c r="R145">
        <v>381</v>
      </c>
      <c r="S145" s="73">
        <f>UninsuredTable[[#This Row],[Alternate Adj Total Uninsured]]*(UninsuredTable[[#This Row],[400% FPL and over - No Health Insurance]]/UninsuredTable[[#This Row],[Total Uninsured Population]])</f>
        <v>263.14931736713015</v>
      </c>
    </row>
    <row r="146" spans="1:19" x14ac:dyDescent="0.3">
      <c r="A146">
        <v>21213</v>
      </c>
      <c r="B146" t="s">
        <v>992</v>
      </c>
      <c r="C146" t="s">
        <v>993</v>
      </c>
      <c r="D146">
        <v>31583</v>
      </c>
      <c r="E146">
        <f t="shared" si="2"/>
        <v>2379</v>
      </c>
      <c r="F14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1743.2</v>
      </c>
      <c r="G14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1790.9539625245161</v>
      </c>
      <c r="H146" s="28">
        <v>12400</v>
      </c>
      <c r="I146">
        <f>SUM(VLOOKUP(UninsuredTable[[#This Row],[ZIP code]],ModifiedBaseTable!B:R,11,0),VLOOKUP(UninsuredTable[[#This Row],[ZIP code]],ModifiedBaseTable!B:R,17,0))</f>
        <v>1229</v>
      </c>
      <c r="J146" s="73">
        <f>UninsuredTable[[#This Row],[Alternate Adj Total Uninsured]]*(UninsuredTable[[#This Row],[Below 138% of FPL - No Health Insurance]]/UninsuredTable[[#This Row],[Total Uninsured Population]])</f>
        <v>925.21329127474996</v>
      </c>
      <c r="K146">
        <v>5110</v>
      </c>
      <c r="L146">
        <v>350</v>
      </c>
      <c r="M146" s="73">
        <f>UninsuredTable[[#This Row],[Alternate Adj Total Uninsured]]*(UninsuredTable[[#This Row],[138% to 199% - No Health Insurance]]/UninsuredTable[[#This Row],[Total Uninsured Population]])</f>
        <v>263.4862912499288</v>
      </c>
      <c r="N146">
        <v>8842</v>
      </c>
      <c r="O146">
        <v>462</v>
      </c>
      <c r="P146" s="73">
        <f>UninsuredTable[[#This Row],[Alternate Adj Total Uninsured]]*(UninsuredTable[[#This Row],[200 to 399% of FPL - No Health Insurance]]/UninsuredTable[[#This Row],[Total Uninsured Population]])</f>
        <v>347.80190444990603</v>
      </c>
      <c r="Q146">
        <v>5231</v>
      </c>
      <c r="R146">
        <v>338</v>
      </c>
      <c r="S146" s="73">
        <f>UninsuredTable[[#This Row],[Alternate Adj Total Uninsured]]*(UninsuredTable[[#This Row],[400% FPL and over - No Health Insurance]]/UninsuredTable[[#This Row],[Total Uninsured Population]])</f>
        <v>254.45247554993122</v>
      </c>
    </row>
    <row r="147" spans="1:19" x14ac:dyDescent="0.3">
      <c r="A147">
        <v>21214</v>
      </c>
      <c r="B147" t="s">
        <v>992</v>
      </c>
      <c r="C147" t="s">
        <v>993</v>
      </c>
      <c r="D147">
        <v>20543</v>
      </c>
      <c r="E147">
        <f t="shared" si="2"/>
        <v>1190</v>
      </c>
      <c r="F14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832</v>
      </c>
      <c r="G14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867.8154718933871</v>
      </c>
      <c r="H147" s="28">
        <v>3758</v>
      </c>
      <c r="I147">
        <f>SUM(VLOOKUP(UninsuredTable[[#This Row],[ZIP code]],ModifiedBaseTable!B:R,11,0),VLOOKUP(UninsuredTable[[#This Row],[ZIP code]],ModifiedBaseTable!B:R,17,0))</f>
        <v>292</v>
      </c>
      <c r="J147" s="73">
        <f>UninsuredTable[[#This Row],[Alternate Adj Total Uninsured]]*(UninsuredTable[[#This Row],[Below 138% of FPL - No Health Insurance]]/UninsuredTable[[#This Row],[Total Uninsured Population]])</f>
        <v>212.94295612846136</v>
      </c>
      <c r="K147">
        <v>1461</v>
      </c>
      <c r="L147">
        <v>179</v>
      </c>
      <c r="M147" s="73">
        <f>UninsuredTable[[#This Row],[Alternate Adj Total Uninsured]]*(UninsuredTable[[#This Row],[138% to 199% - No Health Insurance]]/UninsuredTable[[#This Row],[Total Uninsured Population]])</f>
        <v>130.53694913354309</v>
      </c>
      <c r="N147">
        <v>6868</v>
      </c>
      <c r="O147">
        <v>407</v>
      </c>
      <c r="P147" s="73">
        <f>UninsuredTable[[#This Row],[Alternate Adj Total Uninsured]]*(UninsuredTable[[#This Row],[200 to 399% of FPL - No Health Insurance]]/UninsuredTable[[#This Row],[Total Uninsured Population]])</f>
        <v>296.80747652151979</v>
      </c>
      <c r="Q147">
        <v>8456</v>
      </c>
      <c r="R147">
        <v>312</v>
      </c>
      <c r="S147" s="73">
        <f>UninsuredTable[[#This Row],[Alternate Adj Total Uninsured]]*(UninsuredTable[[#This Row],[400% FPL and over - No Health Insurance]]/UninsuredTable[[#This Row],[Total Uninsured Population]])</f>
        <v>227.52809010986286</v>
      </c>
    </row>
    <row r="148" spans="1:19" x14ac:dyDescent="0.3">
      <c r="A148">
        <v>21215</v>
      </c>
      <c r="B148" t="s">
        <v>992</v>
      </c>
      <c r="C148" t="s">
        <v>993</v>
      </c>
      <c r="D148">
        <v>58238</v>
      </c>
      <c r="E148">
        <f t="shared" si="2"/>
        <v>5228</v>
      </c>
      <c r="F14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3508</v>
      </c>
      <c r="G14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3709.2829520408359</v>
      </c>
      <c r="H148" s="28">
        <v>19221</v>
      </c>
      <c r="I148">
        <f>SUM(VLOOKUP(UninsuredTable[[#This Row],[ZIP code]],ModifiedBaseTable!B:R,11,0),VLOOKUP(UninsuredTable[[#This Row],[ZIP code]],ModifiedBaseTable!B:R,17,0))</f>
        <v>2159</v>
      </c>
      <c r="J148" s="73">
        <f>UninsuredTable[[#This Row],[Alternate Adj Total Uninsured]]*(UninsuredTable[[#This Row],[Below 138% of FPL - No Health Insurance]]/UninsuredTable[[#This Row],[Total Uninsured Population]])</f>
        <v>1531.8175006610875</v>
      </c>
      <c r="K148">
        <v>8066</v>
      </c>
      <c r="L148">
        <v>639</v>
      </c>
      <c r="M148" s="73">
        <f>UninsuredTable[[#This Row],[Alternate Adj Total Uninsured]]*(UninsuredTable[[#This Row],[138% to 199% - No Health Insurance]]/UninsuredTable[[#This Row],[Total Uninsured Population]])</f>
        <v>453.37257198815882</v>
      </c>
      <c r="N148">
        <v>16275</v>
      </c>
      <c r="O148">
        <v>1377</v>
      </c>
      <c r="P148" s="73">
        <f>UninsuredTable[[#This Row],[Alternate Adj Total Uninsured]]*(UninsuredTable[[#This Row],[200 to 399% of FPL - No Health Insurance]]/UninsuredTable[[#This Row],[Total Uninsured Population]])</f>
        <v>976.9859649885675</v>
      </c>
      <c r="Q148">
        <v>14676</v>
      </c>
      <c r="R148">
        <v>1053</v>
      </c>
      <c r="S148" s="73">
        <f>UninsuredTable[[#This Row],[Alternate Adj Total Uninsured]]*(UninsuredTable[[#This Row],[400% FPL and over - No Health Insurance]]/UninsuredTable[[#This Row],[Total Uninsured Population]])</f>
        <v>747.1069144030223</v>
      </c>
    </row>
    <row r="149" spans="1:19" x14ac:dyDescent="0.3">
      <c r="A149">
        <v>21216</v>
      </c>
      <c r="B149" t="s">
        <v>992</v>
      </c>
      <c r="C149" t="s">
        <v>993</v>
      </c>
      <c r="D149">
        <v>29262</v>
      </c>
      <c r="E149">
        <f t="shared" si="2"/>
        <v>2427</v>
      </c>
      <c r="F14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1807.2</v>
      </c>
      <c r="G14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1847.3133285205936</v>
      </c>
      <c r="H149" s="28">
        <v>10699</v>
      </c>
      <c r="I149">
        <f>SUM(VLOOKUP(UninsuredTable[[#This Row],[ZIP code]],ModifiedBaseTable!B:R,11,0),VLOOKUP(UninsuredTable[[#This Row],[ZIP code]],ModifiedBaseTable!B:R,17,0))</f>
        <v>922</v>
      </c>
      <c r="J149" s="73">
        <f>UninsuredTable[[#This Row],[Alternate Adj Total Uninsured]]*(UninsuredTable[[#This Row],[Below 138% of FPL - No Health Insurance]]/UninsuredTable[[#This Row],[Total Uninsured Population]])</f>
        <v>701.78116559373188</v>
      </c>
      <c r="K149">
        <v>3548</v>
      </c>
      <c r="L149">
        <v>342</v>
      </c>
      <c r="M149" s="73">
        <f>UninsuredTable[[#This Row],[Alternate Adj Total Uninsured]]*(UninsuredTable[[#This Row],[138% to 199% - No Health Insurance]]/UninsuredTable[[#This Row],[Total Uninsured Population]])</f>
        <v>260.31362107706758</v>
      </c>
      <c r="N149">
        <v>9035</v>
      </c>
      <c r="O149">
        <v>815</v>
      </c>
      <c r="P149" s="73">
        <f>UninsuredTable[[#This Row],[Alternate Adj Total Uninsured]]*(UninsuredTable[[#This Row],[200 to 399% of FPL - No Health Insurance]]/UninsuredTable[[#This Row],[Total Uninsured Population]])</f>
        <v>620.33801513979563</v>
      </c>
      <c r="Q149">
        <v>5980</v>
      </c>
      <c r="R149">
        <v>348</v>
      </c>
      <c r="S149" s="73">
        <f>UninsuredTable[[#This Row],[Alternate Adj Total Uninsured]]*(UninsuredTable[[#This Row],[400% FPL and over - No Health Insurance]]/UninsuredTable[[#This Row],[Total Uninsured Population]])</f>
        <v>264.88052670999855</v>
      </c>
    </row>
    <row r="150" spans="1:19" x14ac:dyDescent="0.3">
      <c r="A150">
        <v>21217</v>
      </c>
      <c r="B150" t="s">
        <v>992</v>
      </c>
      <c r="C150" t="s">
        <v>993</v>
      </c>
      <c r="D150">
        <v>35899</v>
      </c>
      <c r="E150">
        <f t="shared" si="2"/>
        <v>3034</v>
      </c>
      <c r="F15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2167.2000000000003</v>
      </c>
      <c r="G15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2244.8001891023391</v>
      </c>
      <c r="H150" s="28">
        <v>16248</v>
      </c>
      <c r="I150">
        <f>SUM(VLOOKUP(UninsuredTable[[#This Row],[ZIP code]],ModifiedBaseTable!B:R,11,0),VLOOKUP(UninsuredTable[[#This Row],[ZIP code]],ModifiedBaseTable!B:R,17,0))</f>
        <v>1305</v>
      </c>
      <c r="J150" s="73">
        <f>UninsuredTable[[#This Row],[Alternate Adj Total Uninsured]]*(UninsuredTable[[#This Row],[Below 138% of FPL - No Health Insurance]]/UninsuredTable[[#This Row],[Total Uninsured Population]])</f>
        <v>965.54523624869898</v>
      </c>
      <c r="K150">
        <v>4754</v>
      </c>
      <c r="L150">
        <v>526</v>
      </c>
      <c r="M150" s="73">
        <f>UninsuredTable[[#This Row],[Alternate Adj Total Uninsured]]*(UninsuredTable[[#This Row],[138% to 199% - No Health Insurance]]/UninsuredTable[[#This Row],[Total Uninsured Population]])</f>
        <v>389.17762012782805</v>
      </c>
      <c r="N150">
        <v>8422</v>
      </c>
      <c r="O150">
        <v>956</v>
      </c>
      <c r="P150" s="73">
        <f>UninsuredTable[[#This Row],[Alternate Adj Total Uninsured]]*(UninsuredTable[[#This Row],[200 to 399% of FPL - No Health Insurance]]/UninsuredTable[[#This Row],[Total Uninsured Population]])</f>
        <v>707.32662517529207</v>
      </c>
      <c r="Q150">
        <v>6475</v>
      </c>
      <c r="R150">
        <v>247</v>
      </c>
      <c r="S150" s="73">
        <f>UninsuredTable[[#This Row],[Alternate Adj Total Uninsured]]*(UninsuredTable[[#This Row],[400% FPL and over - No Health Insurance]]/UninsuredTable[[#This Row],[Total Uninsured Population]])</f>
        <v>182.75070755052002</v>
      </c>
    </row>
    <row r="151" spans="1:19" x14ac:dyDescent="0.3">
      <c r="A151">
        <v>21218</v>
      </c>
      <c r="B151" t="s">
        <v>992</v>
      </c>
      <c r="C151" t="s">
        <v>993</v>
      </c>
      <c r="D151">
        <v>44181</v>
      </c>
      <c r="E151">
        <f t="shared" si="2"/>
        <v>3155</v>
      </c>
      <c r="F15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2131.2000000000003</v>
      </c>
      <c r="G15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2248.4359779976871</v>
      </c>
      <c r="H151" s="28">
        <v>13746</v>
      </c>
      <c r="I151">
        <f>SUM(VLOOKUP(UninsuredTable[[#This Row],[ZIP code]],ModifiedBaseTable!B:R,11,0),VLOOKUP(UninsuredTable[[#This Row],[ZIP code]],ModifiedBaseTable!B:R,17,0))</f>
        <v>1347</v>
      </c>
      <c r="J151" s="73">
        <f>UninsuredTable[[#This Row],[Alternate Adj Total Uninsured]]*(UninsuredTable[[#This Row],[Below 138% of FPL - No Health Insurance]]/UninsuredTable[[#This Row],[Total Uninsured Population]])</f>
        <v>959.9503208757161</v>
      </c>
      <c r="K151">
        <v>4918</v>
      </c>
      <c r="L151">
        <v>384</v>
      </c>
      <c r="M151" s="73">
        <f>UninsuredTable[[#This Row],[Alternate Adj Total Uninsured]]*(UninsuredTable[[#This Row],[138% to 199% - No Health Insurance]]/UninsuredTable[[#This Row],[Total Uninsured Population]])</f>
        <v>273.6606705391797</v>
      </c>
      <c r="N151">
        <v>12570</v>
      </c>
      <c r="O151">
        <v>982</v>
      </c>
      <c r="P151" s="73">
        <f>UninsuredTable[[#This Row],[Alternate Adj Total Uninsured]]*(UninsuredTable[[#This Row],[200 to 399% of FPL - No Health Insurance]]/UninsuredTable[[#This Row],[Total Uninsured Population]])</f>
        <v>699.8301522642563</v>
      </c>
      <c r="Q151">
        <v>12947</v>
      </c>
      <c r="R151">
        <v>442</v>
      </c>
      <c r="S151" s="73">
        <f>UninsuredTable[[#This Row],[Alternate Adj Total Uninsured]]*(UninsuredTable[[#This Row],[400% FPL and over - No Health Insurance]]/UninsuredTable[[#This Row],[Total Uninsured Population]])</f>
        <v>314.99483431853491</v>
      </c>
    </row>
    <row r="152" spans="1:19" x14ac:dyDescent="0.3">
      <c r="A152">
        <v>21219</v>
      </c>
      <c r="B152" t="s">
        <v>1156</v>
      </c>
      <c r="C152" t="s">
        <v>992</v>
      </c>
      <c r="D152">
        <v>9524</v>
      </c>
      <c r="E152">
        <f t="shared" si="2"/>
        <v>401</v>
      </c>
      <c r="F15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401</v>
      </c>
      <c r="G15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401</v>
      </c>
      <c r="H152" s="28">
        <v>1030</v>
      </c>
      <c r="I152">
        <f>SUM(VLOOKUP(UninsuredTable[[#This Row],[ZIP code]],ModifiedBaseTable!B:R,11,0),VLOOKUP(UninsuredTable[[#This Row],[ZIP code]],ModifiedBaseTable!B:R,17,0))</f>
        <v>88</v>
      </c>
      <c r="J152" s="73">
        <f>UninsuredTable[[#This Row],[Alternate Adj Total Uninsured]]*(UninsuredTable[[#This Row],[Below 138% of FPL - No Health Insurance]]/UninsuredTable[[#This Row],[Total Uninsured Population]])</f>
        <v>88</v>
      </c>
      <c r="K152">
        <v>475</v>
      </c>
      <c r="L152">
        <v>0</v>
      </c>
      <c r="M152" s="73">
        <f>UninsuredTable[[#This Row],[Alternate Adj Total Uninsured]]*(UninsuredTable[[#This Row],[138% to 199% - No Health Insurance]]/UninsuredTable[[#This Row],[Total Uninsured Population]])</f>
        <v>0</v>
      </c>
      <c r="N152">
        <v>2855</v>
      </c>
      <c r="O152">
        <v>193</v>
      </c>
      <c r="P152" s="73">
        <f>UninsuredTable[[#This Row],[Alternate Adj Total Uninsured]]*(UninsuredTable[[#This Row],[200 to 399% of FPL - No Health Insurance]]/UninsuredTable[[#This Row],[Total Uninsured Population]])</f>
        <v>193</v>
      </c>
      <c r="Q152">
        <v>5164</v>
      </c>
      <c r="R152">
        <v>120</v>
      </c>
      <c r="S152" s="73">
        <f>UninsuredTable[[#This Row],[Alternate Adj Total Uninsured]]*(UninsuredTable[[#This Row],[400% FPL and over - No Health Insurance]]/UninsuredTable[[#This Row],[Total Uninsured Population]])</f>
        <v>120</v>
      </c>
    </row>
    <row r="153" spans="1:19" x14ac:dyDescent="0.3">
      <c r="A153">
        <v>21220</v>
      </c>
      <c r="B153" t="s">
        <v>1010</v>
      </c>
      <c r="C153" t="s">
        <v>992</v>
      </c>
      <c r="D153">
        <v>40016</v>
      </c>
      <c r="E153">
        <f t="shared" si="2"/>
        <v>3789</v>
      </c>
      <c r="F15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2044.8000000000002</v>
      </c>
      <c r="G15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2339.2031789636426</v>
      </c>
      <c r="H153" s="28">
        <v>6134</v>
      </c>
      <c r="I153">
        <f>SUM(VLOOKUP(UninsuredTable[[#This Row],[ZIP code]],ModifiedBaseTable!B:R,11,0),VLOOKUP(UninsuredTable[[#This Row],[ZIP code]],ModifiedBaseTable!B:R,17,0))</f>
        <v>966</v>
      </c>
      <c r="J153" s="73">
        <f>UninsuredTable[[#This Row],[Alternate Adj Total Uninsured]]*(UninsuredTable[[#This Row],[Below 138% of FPL - No Health Insurance]]/UninsuredTable[[#This Row],[Total Uninsured Population]])</f>
        <v>596.37642409049317</v>
      </c>
      <c r="K153">
        <v>5242</v>
      </c>
      <c r="L153">
        <v>634</v>
      </c>
      <c r="M153" s="73">
        <f>UninsuredTable[[#This Row],[Alternate Adj Total Uninsured]]*(UninsuredTable[[#This Row],[138% to 199% - No Health Insurance]]/UninsuredTable[[#This Row],[Total Uninsured Population]])</f>
        <v>391.41061374055147</v>
      </c>
      <c r="N153">
        <v>13153</v>
      </c>
      <c r="O153">
        <v>1253</v>
      </c>
      <c r="P153" s="73">
        <f>UninsuredTable[[#This Row],[Alternate Adj Total Uninsured]]*(UninsuredTable[[#This Row],[200 to 399% of FPL - No Health Insurance]]/UninsuredTable[[#This Row],[Total Uninsured Population]])</f>
        <v>773.56072400143682</v>
      </c>
      <c r="Q153">
        <v>15487</v>
      </c>
      <c r="R153">
        <v>936</v>
      </c>
      <c r="S153" s="73">
        <f>UninsuredTable[[#This Row],[Alternate Adj Total Uninsured]]*(UninsuredTable[[#This Row],[400% FPL and over - No Health Insurance]]/UninsuredTable[[#This Row],[Total Uninsured Population]])</f>
        <v>577.85541713116106</v>
      </c>
    </row>
    <row r="154" spans="1:19" x14ac:dyDescent="0.3">
      <c r="A154">
        <v>21221</v>
      </c>
      <c r="B154" t="s">
        <v>1006</v>
      </c>
      <c r="C154" t="s">
        <v>992</v>
      </c>
      <c r="D154">
        <v>41756</v>
      </c>
      <c r="E154">
        <f t="shared" si="2"/>
        <v>3935</v>
      </c>
      <c r="F15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2492.8000000000002</v>
      </c>
      <c r="G15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2688.3524765378943</v>
      </c>
      <c r="H154" s="28">
        <v>8172</v>
      </c>
      <c r="I154">
        <f>SUM(VLOOKUP(UninsuredTable[[#This Row],[ZIP code]],ModifiedBaseTable!B:R,11,0),VLOOKUP(UninsuredTable[[#This Row],[ZIP code]],ModifiedBaseTable!B:R,17,0))</f>
        <v>1037</v>
      </c>
      <c r="J154" s="73">
        <f>UninsuredTable[[#This Row],[Alternate Adj Total Uninsured]]*(UninsuredTable[[#This Row],[Below 138% of FPL - No Health Insurance]]/UninsuredTable[[#This Row],[Total Uninsured Population]])</f>
        <v>708.46798428711475</v>
      </c>
      <c r="K154">
        <v>4955</v>
      </c>
      <c r="L154">
        <v>516</v>
      </c>
      <c r="M154" s="73">
        <f>UninsuredTable[[#This Row],[Alternate Adj Total Uninsured]]*(UninsuredTable[[#This Row],[138% to 199% - No Health Insurance]]/UninsuredTable[[#This Row],[Total Uninsured Population]])</f>
        <v>352.52601725376201</v>
      </c>
      <c r="N154">
        <v>15188</v>
      </c>
      <c r="O154">
        <v>1554</v>
      </c>
      <c r="P154" s="73">
        <f>UninsuredTable[[#This Row],[Alternate Adj Total Uninsured]]*(UninsuredTable[[#This Row],[200 to 399% of FPL - No Health Insurance]]/UninsuredTable[[#This Row],[Total Uninsured Population]])</f>
        <v>1061.6771914967949</v>
      </c>
      <c r="Q154">
        <v>13441</v>
      </c>
      <c r="R154">
        <v>828</v>
      </c>
      <c r="S154" s="73">
        <f>UninsuredTable[[#This Row],[Alternate Adj Total Uninsured]]*(UninsuredTable[[#This Row],[400% FPL and over - No Health Insurance]]/UninsuredTable[[#This Row],[Total Uninsured Population]])</f>
        <v>565.68128350022278</v>
      </c>
    </row>
    <row r="155" spans="1:19" x14ac:dyDescent="0.3">
      <c r="A155">
        <v>21222</v>
      </c>
      <c r="B155" t="s">
        <v>1003</v>
      </c>
      <c r="C155" t="s">
        <v>992</v>
      </c>
      <c r="D155">
        <v>54437</v>
      </c>
      <c r="E155">
        <f t="shared" si="2"/>
        <v>4429</v>
      </c>
      <c r="F15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2915.2000000000003</v>
      </c>
      <c r="G15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3102.6343029087266</v>
      </c>
      <c r="H155" s="28">
        <v>12047</v>
      </c>
      <c r="I155">
        <f>SUM(VLOOKUP(UninsuredTable[[#This Row],[ZIP code]],ModifiedBaseTable!B:R,11,0),VLOOKUP(UninsuredTable[[#This Row],[ZIP code]],ModifiedBaseTable!B:R,17,0))</f>
        <v>1661</v>
      </c>
      <c r="J155" s="73">
        <f>UninsuredTable[[#This Row],[Alternate Adj Total Uninsured]]*(UninsuredTable[[#This Row],[Below 138% of FPL - No Health Insurance]]/UninsuredTable[[#This Row],[Total Uninsured Population]])</f>
        <v>1163.5754294719791</v>
      </c>
      <c r="K155">
        <v>8068</v>
      </c>
      <c r="L155">
        <v>716</v>
      </c>
      <c r="M155" s="73">
        <f>UninsuredTable[[#This Row],[Alternate Adj Total Uninsured]]*(UninsuredTable[[#This Row],[138% to 199% - No Health Insurance]]/UninsuredTable[[#This Row],[Total Uninsured Population]])</f>
        <v>501.57736755083499</v>
      </c>
      <c r="N155">
        <v>19106</v>
      </c>
      <c r="O155">
        <v>1341</v>
      </c>
      <c r="P155" s="73">
        <f>UninsuredTable[[#This Row],[Alternate Adj Total Uninsured]]*(UninsuredTable[[#This Row],[200 to 399% of FPL - No Health Insurance]]/UninsuredTable[[#This Row],[Total Uninsured Population]])</f>
        <v>939.40677358333767</v>
      </c>
      <c r="Q155">
        <v>15216</v>
      </c>
      <c r="R155">
        <v>711</v>
      </c>
      <c r="S155" s="73">
        <f>UninsuredTable[[#This Row],[Alternate Adj Total Uninsured]]*(UninsuredTable[[#This Row],[400% FPL and over - No Health Insurance]]/UninsuredTable[[#This Row],[Total Uninsured Population]])</f>
        <v>498.074732302575</v>
      </c>
    </row>
    <row r="156" spans="1:19" x14ac:dyDescent="0.3">
      <c r="A156">
        <v>21223</v>
      </c>
      <c r="B156" t="s">
        <v>992</v>
      </c>
      <c r="C156" t="s">
        <v>993</v>
      </c>
      <c r="D156">
        <v>23523</v>
      </c>
      <c r="E156">
        <f t="shared" si="2"/>
        <v>2453</v>
      </c>
      <c r="F15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1544</v>
      </c>
      <c r="G15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1668.8766120016098</v>
      </c>
      <c r="H156" s="28">
        <v>11622</v>
      </c>
      <c r="I156">
        <f>SUM(VLOOKUP(UninsuredTable[[#This Row],[ZIP code]],ModifiedBaseTable!B:R,11,0),VLOOKUP(UninsuredTable[[#This Row],[ZIP code]],ModifiedBaseTable!B:R,17,0))</f>
        <v>1045</v>
      </c>
      <c r="J156" s="73">
        <f>UninsuredTable[[#This Row],[Alternate Adj Total Uninsured]]*(UninsuredTable[[#This Row],[Below 138% of FPL - No Health Insurance]]/UninsuredTable[[#This Row],[Total Uninsured Population]])</f>
        <v>710.95640421593248</v>
      </c>
      <c r="K156">
        <v>3550</v>
      </c>
      <c r="L156">
        <v>394</v>
      </c>
      <c r="M156" s="73">
        <f>UninsuredTable[[#This Row],[Alternate Adj Total Uninsured]]*(UninsuredTable[[#This Row],[138% to 199% - No Health Insurance]]/UninsuredTable[[#This Row],[Total Uninsured Population]])</f>
        <v>268.05437632638984</v>
      </c>
      <c r="N156">
        <v>5682</v>
      </c>
      <c r="O156">
        <v>729</v>
      </c>
      <c r="P156" s="73">
        <f>UninsuredTable[[#This Row],[Alternate Adj Total Uninsured]]*(UninsuredTable[[#This Row],[200 to 399% of FPL - No Health Insurance]]/UninsuredTable[[#This Row],[Total Uninsured Population]])</f>
        <v>495.96863030948782</v>
      </c>
      <c r="Q156">
        <v>2669</v>
      </c>
      <c r="R156">
        <v>285</v>
      </c>
      <c r="S156" s="73">
        <f>UninsuredTable[[#This Row],[Alternate Adj Total Uninsured]]*(UninsuredTable[[#This Row],[400% FPL and over - No Health Insurance]]/UninsuredTable[[#This Row],[Total Uninsured Population]])</f>
        <v>193.89720114979977</v>
      </c>
    </row>
    <row r="157" spans="1:19" x14ac:dyDescent="0.3">
      <c r="A157">
        <v>21224</v>
      </c>
      <c r="B157" t="s">
        <v>992</v>
      </c>
      <c r="C157" t="s">
        <v>993</v>
      </c>
      <c r="D157">
        <v>50322</v>
      </c>
      <c r="E157">
        <f t="shared" si="2"/>
        <v>7517</v>
      </c>
      <c r="F15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2699.2000000000003</v>
      </c>
      <c r="G15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3688.4233336953534</v>
      </c>
      <c r="H157" s="28">
        <v>12654</v>
      </c>
      <c r="I157">
        <f>SUM(VLOOKUP(UninsuredTable[[#This Row],[ZIP code]],ModifiedBaseTable!B:R,11,0),VLOOKUP(UninsuredTable[[#This Row],[ZIP code]],ModifiedBaseTable!B:R,17,0))</f>
        <v>2988</v>
      </c>
      <c r="J157" s="73">
        <f>UninsuredTable[[#This Row],[Alternate Adj Total Uninsured]]*(UninsuredTable[[#This Row],[Below 138% of FPL - No Health Insurance]]/UninsuredTable[[#This Row],[Total Uninsured Population]])</f>
        <v>1466.144595062088</v>
      </c>
      <c r="K157">
        <v>5426</v>
      </c>
      <c r="L157">
        <v>1123</v>
      </c>
      <c r="M157" s="73">
        <f>UninsuredTable[[#This Row],[Alternate Adj Total Uninsured]]*(UninsuredTable[[#This Row],[138% to 199% - No Health Insurance]]/UninsuredTable[[#This Row],[Total Uninsured Population]])</f>
        <v>551.03091708658803</v>
      </c>
      <c r="N157">
        <v>13811</v>
      </c>
      <c r="O157">
        <v>2385</v>
      </c>
      <c r="P157" s="73">
        <f>UninsuredTable[[#This Row],[Alternate Adj Total Uninsured]]*(UninsuredTable[[#This Row],[200 to 399% of FPL - No Health Insurance]]/UninsuredTable[[#This Row],[Total Uninsured Population]])</f>
        <v>1170.2660171429318</v>
      </c>
      <c r="Q157">
        <v>18431</v>
      </c>
      <c r="R157">
        <v>1021</v>
      </c>
      <c r="S157" s="73">
        <f>UninsuredTable[[#This Row],[Alternate Adj Total Uninsured]]*(UninsuredTable[[#This Row],[400% FPL and over - No Health Insurance]]/UninsuredTable[[#This Row],[Total Uninsured Population]])</f>
        <v>500.98180440374563</v>
      </c>
    </row>
    <row r="158" spans="1:19" x14ac:dyDescent="0.3">
      <c r="A158">
        <v>21225</v>
      </c>
      <c r="B158" t="s">
        <v>1011</v>
      </c>
      <c r="C158" t="s">
        <v>993</v>
      </c>
      <c r="D158">
        <v>32786</v>
      </c>
      <c r="E158">
        <f t="shared" si="2"/>
        <v>3281</v>
      </c>
      <c r="F15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1907.2</v>
      </c>
      <c r="G15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2121.3765219224551</v>
      </c>
      <c r="H158" s="28">
        <v>11196</v>
      </c>
      <c r="I158">
        <f>SUM(VLOOKUP(UninsuredTable[[#This Row],[ZIP code]],ModifiedBaseTable!B:R,11,0),VLOOKUP(UninsuredTable[[#This Row],[ZIP code]],ModifiedBaseTable!B:R,17,0))</f>
        <v>1211</v>
      </c>
      <c r="J158" s="73">
        <f>UninsuredTable[[#This Row],[Alternate Adj Total Uninsured]]*(UninsuredTable[[#This Row],[Below 138% of FPL - No Health Insurance]]/UninsuredTable[[#This Row],[Total Uninsured Population]])</f>
        <v>782.98901799698058</v>
      </c>
      <c r="K158">
        <v>4353</v>
      </c>
      <c r="L158">
        <v>793</v>
      </c>
      <c r="M158" s="73">
        <f>UninsuredTable[[#This Row],[Alternate Adj Total Uninsured]]*(UninsuredTable[[#This Row],[138% to 199% - No Health Insurance]]/UninsuredTable[[#This Row],[Total Uninsured Population]])</f>
        <v>512.7252611656528</v>
      </c>
      <c r="N158">
        <v>9060</v>
      </c>
      <c r="O158">
        <v>811</v>
      </c>
      <c r="P158" s="73">
        <f>UninsuredTable[[#This Row],[Alternate Adj Total Uninsured]]*(UninsuredTable[[#This Row],[200 to 399% of FPL - No Health Insurance]]/UninsuredTable[[#This Row],[Total Uninsured Population]])</f>
        <v>524.36341337370038</v>
      </c>
      <c r="Q158">
        <v>8177</v>
      </c>
      <c r="R158">
        <v>466</v>
      </c>
      <c r="S158" s="73">
        <f>UninsuredTable[[#This Row],[Alternate Adj Total Uninsured]]*(UninsuredTable[[#This Row],[400% FPL and over - No Health Insurance]]/UninsuredTable[[#This Row],[Total Uninsured Population]])</f>
        <v>301.29882938612133</v>
      </c>
    </row>
    <row r="159" spans="1:19" x14ac:dyDescent="0.3">
      <c r="A159">
        <v>21226</v>
      </c>
      <c r="B159" t="s">
        <v>1165</v>
      </c>
      <c r="C159" t="s">
        <v>996</v>
      </c>
      <c r="D159">
        <v>7651</v>
      </c>
      <c r="E159">
        <f t="shared" si="2"/>
        <v>256</v>
      </c>
      <c r="F15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256</v>
      </c>
      <c r="G15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256</v>
      </c>
      <c r="H159" s="28">
        <v>1404</v>
      </c>
      <c r="I159">
        <f>SUM(VLOOKUP(UninsuredTable[[#This Row],[ZIP code]],ModifiedBaseTable!B:R,11,0),VLOOKUP(UninsuredTable[[#This Row],[ZIP code]],ModifiedBaseTable!B:R,17,0))</f>
        <v>78</v>
      </c>
      <c r="J159" s="73">
        <f>UninsuredTable[[#This Row],[Alternate Adj Total Uninsured]]*(UninsuredTable[[#This Row],[Below 138% of FPL - No Health Insurance]]/UninsuredTable[[#This Row],[Total Uninsured Population]])</f>
        <v>78</v>
      </c>
      <c r="K159">
        <v>584</v>
      </c>
      <c r="L159">
        <v>58</v>
      </c>
      <c r="M159" s="73">
        <f>UninsuredTable[[#This Row],[Alternate Adj Total Uninsured]]*(UninsuredTable[[#This Row],[138% to 199% - No Health Insurance]]/UninsuredTable[[#This Row],[Total Uninsured Population]])</f>
        <v>58</v>
      </c>
      <c r="N159">
        <v>2302</v>
      </c>
      <c r="O159">
        <v>97</v>
      </c>
      <c r="P159" s="73">
        <f>UninsuredTable[[#This Row],[Alternate Adj Total Uninsured]]*(UninsuredTable[[#This Row],[200 to 399% of FPL - No Health Insurance]]/UninsuredTable[[#This Row],[Total Uninsured Population]])</f>
        <v>97</v>
      </c>
      <c r="Q159">
        <v>3361</v>
      </c>
      <c r="R159">
        <v>23</v>
      </c>
      <c r="S159" s="73">
        <f>UninsuredTable[[#This Row],[Alternate Adj Total Uninsured]]*(UninsuredTable[[#This Row],[400% FPL and over - No Health Insurance]]/UninsuredTable[[#This Row],[Total Uninsured Population]])</f>
        <v>23</v>
      </c>
    </row>
    <row r="160" spans="1:19" x14ac:dyDescent="0.3">
      <c r="A160">
        <v>21227</v>
      </c>
      <c r="B160" t="s">
        <v>1025</v>
      </c>
      <c r="C160" t="s">
        <v>992</v>
      </c>
      <c r="D160">
        <v>33520</v>
      </c>
      <c r="E160">
        <f t="shared" si="2"/>
        <v>2974</v>
      </c>
      <c r="F16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1549.6000000000001</v>
      </c>
      <c r="G16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1797.2042956896166</v>
      </c>
      <c r="H160" s="28">
        <v>7419</v>
      </c>
      <c r="I160">
        <f>SUM(VLOOKUP(UninsuredTable[[#This Row],[ZIP code]],ModifiedBaseTable!B:R,11,0),VLOOKUP(UninsuredTable[[#This Row],[ZIP code]],ModifiedBaseTable!B:R,17,0))</f>
        <v>912</v>
      </c>
      <c r="J160" s="73">
        <f>UninsuredTable[[#This Row],[Alternate Adj Total Uninsured]]*(UninsuredTable[[#This Row],[Below 138% of FPL - No Health Insurance]]/UninsuredTable[[#This Row],[Total Uninsured Population]])</f>
        <v>551.12653586715885</v>
      </c>
      <c r="K160">
        <v>3604</v>
      </c>
      <c r="L160">
        <v>648</v>
      </c>
      <c r="M160" s="73">
        <f>UninsuredTable[[#This Row],[Alternate Adj Total Uninsured]]*(UninsuredTable[[#This Row],[138% to 199% - No Health Insurance]]/UninsuredTable[[#This Row],[Total Uninsured Population]])</f>
        <v>391.58990706350755</v>
      </c>
      <c r="N160">
        <v>10719</v>
      </c>
      <c r="O160">
        <v>959</v>
      </c>
      <c r="P160" s="73">
        <f>UninsuredTable[[#This Row],[Alternate Adj Total Uninsured]]*(UninsuredTable[[#This Row],[200 to 399% of FPL - No Health Insurance]]/UninsuredTable[[#This Row],[Total Uninsured Population]])</f>
        <v>579.52889023750583</v>
      </c>
      <c r="Q160">
        <v>11778</v>
      </c>
      <c r="R160">
        <v>455</v>
      </c>
      <c r="S160" s="73">
        <f>UninsuredTable[[#This Row],[Alternate Adj Total Uninsured]]*(UninsuredTable[[#This Row],[400% FPL and over - No Health Insurance]]/UninsuredTable[[#This Row],[Total Uninsured Population]])</f>
        <v>274.95896252144439</v>
      </c>
    </row>
    <row r="161" spans="1:19" x14ac:dyDescent="0.3">
      <c r="A161">
        <v>21228</v>
      </c>
      <c r="B161" t="s">
        <v>1035</v>
      </c>
      <c r="C161" t="s">
        <v>992</v>
      </c>
      <c r="D161">
        <v>46446</v>
      </c>
      <c r="E161">
        <f t="shared" si="2"/>
        <v>2893</v>
      </c>
      <c r="F16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1698.4</v>
      </c>
      <c r="G16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1882.2527557193878</v>
      </c>
      <c r="H161" s="28">
        <v>4836</v>
      </c>
      <c r="I161">
        <f>SUM(VLOOKUP(UninsuredTable[[#This Row],[ZIP code]],ModifiedBaseTable!B:R,11,0),VLOOKUP(UninsuredTable[[#This Row],[ZIP code]],ModifiedBaseTable!B:R,17,0))</f>
        <v>680</v>
      </c>
      <c r="J161" s="73">
        <f>UninsuredTable[[#This Row],[Alternate Adj Total Uninsured]]*(UninsuredTable[[#This Row],[Below 138% of FPL - No Health Insurance]]/UninsuredTable[[#This Row],[Total Uninsured Population]])</f>
        <v>442.42373794994251</v>
      </c>
      <c r="K161">
        <v>3235</v>
      </c>
      <c r="L161">
        <v>417</v>
      </c>
      <c r="M161" s="73">
        <f>UninsuredTable[[#This Row],[Alternate Adj Total Uninsured]]*(UninsuredTable[[#This Row],[138% to 199% - No Health Insurance]]/UninsuredTable[[#This Row],[Total Uninsured Population]])</f>
        <v>271.30985106636183</v>
      </c>
      <c r="N161">
        <v>12451</v>
      </c>
      <c r="O161">
        <v>1088</v>
      </c>
      <c r="P161" s="73">
        <f>UninsuredTable[[#This Row],[Alternate Adj Total Uninsured]]*(UninsuredTable[[#This Row],[200 to 399% of FPL - No Health Insurance]]/UninsuredTable[[#This Row],[Total Uninsured Population]])</f>
        <v>707.87798071990812</v>
      </c>
      <c r="Q161">
        <v>25924</v>
      </c>
      <c r="R161">
        <v>708</v>
      </c>
      <c r="S161" s="73">
        <f>UninsuredTable[[#This Row],[Alternate Adj Total Uninsured]]*(UninsuredTable[[#This Row],[400% FPL and over - No Health Insurance]]/UninsuredTable[[#This Row],[Total Uninsured Population]])</f>
        <v>460.64118598317543</v>
      </c>
    </row>
    <row r="162" spans="1:19" x14ac:dyDescent="0.3">
      <c r="A162">
        <v>21229</v>
      </c>
      <c r="B162" t="s">
        <v>992</v>
      </c>
      <c r="C162" t="s">
        <v>993</v>
      </c>
      <c r="D162">
        <v>47534</v>
      </c>
      <c r="E162">
        <f t="shared" si="2"/>
        <v>3435</v>
      </c>
      <c r="F16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2590.4</v>
      </c>
      <c r="G16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2637.4376530866484</v>
      </c>
      <c r="H162" s="28">
        <v>12358</v>
      </c>
      <c r="I162">
        <f>SUM(VLOOKUP(UninsuredTable[[#This Row],[ZIP code]],ModifiedBaseTable!B:R,11,0),VLOOKUP(UninsuredTable[[#This Row],[ZIP code]],ModifiedBaseTable!B:R,17,0))</f>
        <v>1031</v>
      </c>
      <c r="J162" s="73">
        <f>UninsuredTable[[#This Row],[Alternate Adj Total Uninsured]]*(UninsuredTable[[#This Row],[Below 138% of FPL - No Health Insurance]]/UninsuredTable[[#This Row],[Total Uninsured Population]])</f>
        <v>791.61520242571601</v>
      </c>
      <c r="K162">
        <v>7933</v>
      </c>
      <c r="L162">
        <v>612</v>
      </c>
      <c r="M162" s="73">
        <f>UninsuredTable[[#This Row],[Alternate Adj Total Uninsured]]*(UninsuredTable[[#This Row],[138% to 199% - No Health Insurance]]/UninsuredTable[[#This Row],[Total Uninsured Population]])</f>
        <v>469.9015556591059</v>
      </c>
      <c r="N162">
        <v>15243</v>
      </c>
      <c r="O162">
        <v>1393</v>
      </c>
      <c r="P162" s="73">
        <f>UninsuredTable[[#This Row],[Alternate Adj Total Uninsured]]*(UninsuredTable[[#This Row],[200 to 399% of FPL - No Health Insurance]]/UninsuredTable[[#This Row],[Total Uninsured Population]])</f>
        <v>1069.563508224076</v>
      </c>
      <c r="Q162">
        <v>12000</v>
      </c>
      <c r="R162">
        <v>399</v>
      </c>
      <c r="S162" s="73">
        <f>UninsuredTable[[#This Row],[Alternate Adj Total Uninsured]]*(UninsuredTable[[#This Row],[400% FPL and over - No Health Insurance]]/UninsuredTable[[#This Row],[Total Uninsured Population]])</f>
        <v>306.35738677775043</v>
      </c>
    </row>
    <row r="163" spans="1:19" x14ac:dyDescent="0.3">
      <c r="A163">
        <v>21230</v>
      </c>
      <c r="B163" t="s">
        <v>992</v>
      </c>
      <c r="C163" t="s">
        <v>993</v>
      </c>
      <c r="D163">
        <v>34474</v>
      </c>
      <c r="E163">
        <f t="shared" si="2"/>
        <v>2219</v>
      </c>
      <c r="F16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1275.2</v>
      </c>
      <c r="G16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1424.4311328891133</v>
      </c>
      <c r="H163" s="28">
        <v>7191</v>
      </c>
      <c r="I163">
        <f>SUM(VLOOKUP(UninsuredTable[[#This Row],[ZIP code]],ModifiedBaseTable!B:R,11,0),VLOOKUP(UninsuredTable[[#This Row],[ZIP code]],ModifiedBaseTable!B:R,17,0))</f>
        <v>653</v>
      </c>
      <c r="J163" s="73">
        <f>UninsuredTable[[#This Row],[Alternate Adj Total Uninsured]]*(UninsuredTable[[#This Row],[Below 138% of FPL - No Health Insurance]]/UninsuredTable[[#This Row],[Total Uninsured Population]])</f>
        <v>419.17689489706669</v>
      </c>
      <c r="K163">
        <v>3433</v>
      </c>
      <c r="L163">
        <v>520</v>
      </c>
      <c r="M163" s="73">
        <f>UninsuredTable[[#This Row],[Alternate Adj Total Uninsured]]*(UninsuredTable[[#This Row],[138% to 199% - No Health Insurance]]/UninsuredTable[[#This Row],[Total Uninsured Population]])</f>
        <v>333.8008963958265</v>
      </c>
      <c r="N163">
        <v>8105</v>
      </c>
      <c r="O163">
        <v>650</v>
      </c>
      <c r="P163" s="73">
        <f>UninsuredTable[[#This Row],[Alternate Adj Total Uninsured]]*(UninsuredTable[[#This Row],[200 to 399% of FPL - No Health Insurance]]/UninsuredTable[[#This Row],[Total Uninsured Population]])</f>
        <v>417.25112049478304</v>
      </c>
      <c r="Q163">
        <v>15745</v>
      </c>
      <c r="R163">
        <v>396</v>
      </c>
      <c r="S163" s="73">
        <f>UninsuredTable[[#This Row],[Alternate Adj Total Uninsured]]*(UninsuredTable[[#This Row],[400% FPL and over - No Health Insurance]]/UninsuredTable[[#This Row],[Total Uninsured Population]])</f>
        <v>254.20222110143709</v>
      </c>
    </row>
    <row r="164" spans="1:19" x14ac:dyDescent="0.3">
      <c r="A164">
        <v>21231</v>
      </c>
      <c r="B164" t="s">
        <v>992</v>
      </c>
      <c r="C164" t="s">
        <v>993</v>
      </c>
      <c r="D164">
        <v>16622</v>
      </c>
      <c r="E164">
        <f t="shared" si="2"/>
        <v>1326</v>
      </c>
      <c r="F16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791.2</v>
      </c>
      <c r="G16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871.66542685381</v>
      </c>
      <c r="H164" s="28">
        <v>4211</v>
      </c>
      <c r="I164">
        <f>SUM(VLOOKUP(UninsuredTable[[#This Row],[ZIP code]],ModifiedBaseTable!B:R,11,0),VLOOKUP(UninsuredTable[[#This Row],[ZIP code]],ModifiedBaseTable!B:R,17,0))</f>
        <v>747</v>
      </c>
      <c r="J164" s="73">
        <f>UninsuredTable[[#This Row],[Alternate Adj Total Uninsured]]*(UninsuredTable[[#This Row],[Below 138% of FPL - No Health Insurance]]/UninsuredTable[[#This Row],[Total Uninsured Population]])</f>
        <v>491.05133775248572</v>
      </c>
      <c r="K164">
        <v>1355</v>
      </c>
      <c r="L164">
        <v>169</v>
      </c>
      <c r="M164" s="73">
        <f>UninsuredTable[[#This Row],[Alternate Adj Total Uninsured]]*(UninsuredTable[[#This Row],[138% to 199% - No Health Insurance]]/UninsuredTable[[#This Row],[Total Uninsured Population]])</f>
        <v>111.09461322646597</v>
      </c>
      <c r="N164">
        <v>3618</v>
      </c>
      <c r="O164">
        <v>126</v>
      </c>
      <c r="P164" s="73">
        <f>UninsuredTable[[#This Row],[Alternate Adj Total Uninsured]]*(UninsuredTable[[#This Row],[200 to 399% of FPL - No Health Insurance]]/UninsuredTable[[#This Row],[Total Uninsured Population]])</f>
        <v>82.82793648837108</v>
      </c>
      <c r="Q164">
        <v>7438</v>
      </c>
      <c r="R164">
        <v>284</v>
      </c>
      <c r="S164" s="73">
        <f>UninsuredTable[[#This Row],[Alternate Adj Total Uninsured]]*(UninsuredTable[[#This Row],[400% FPL and over - No Health Insurance]]/UninsuredTable[[#This Row],[Total Uninsured Population]])</f>
        <v>186.69153938648719</v>
      </c>
    </row>
    <row r="165" spans="1:19" x14ac:dyDescent="0.3">
      <c r="A165">
        <v>21234</v>
      </c>
      <c r="B165" t="s">
        <v>1002</v>
      </c>
      <c r="C165" t="s">
        <v>992</v>
      </c>
      <c r="D165">
        <v>69095</v>
      </c>
      <c r="E165">
        <f t="shared" si="2"/>
        <v>4335</v>
      </c>
      <c r="F16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2900</v>
      </c>
      <c r="G16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3069.526566962033</v>
      </c>
      <c r="H165" s="28">
        <v>8984</v>
      </c>
      <c r="I165">
        <f>SUM(VLOOKUP(UninsuredTable[[#This Row],[ZIP code]],ModifiedBaseTable!B:R,11,0),VLOOKUP(UninsuredTable[[#This Row],[ZIP code]],ModifiedBaseTable!B:R,17,0))</f>
        <v>1058</v>
      </c>
      <c r="J165" s="73">
        <f>UninsuredTable[[#This Row],[Alternate Adj Total Uninsured]]*(UninsuredTable[[#This Row],[Below 138% of FPL - No Health Insurance]]/UninsuredTable[[#This Row],[Total Uninsured Population]])</f>
        <v>749.14858312475917</v>
      </c>
      <c r="K165">
        <v>7071</v>
      </c>
      <c r="L165">
        <v>775</v>
      </c>
      <c r="M165" s="73">
        <f>UninsuredTable[[#This Row],[Alternate Adj Total Uninsured]]*(UninsuredTable[[#This Row],[138% to 199% - No Health Insurance]]/UninsuredTable[[#This Row],[Total Uninsured Population]])</f>
        <v>548.76195833807981</v>
      </c>
      <c r="N165">
        <v>22599</v>
      </c>
      <c r="O165">
        <v>1604</v>
      </c>
      <c r="P165" s="73">
        <f>UninsuredTable[[#This Row],[Alternate Adj Total Uninsured]]*(UninsuredTable[[#This Row],[200 to 399% of FPL - No Health Insurance]]/UninsuredTable[[#This Row],[Total Uninsured Population]])</f>
        <v>1135.7602337732644</v>
      </c>
      <c r="Q165">
        <v>30441</v>
      </c>
      <c r="R165">
        <v>898</v>
      </c>
      <c r="S165" s="73">
        <f>UninsuredTable[[#This Row],[Alternate Adj Total Uninsured]]*(UninsuredTable[[#This Row],[400% FPL and over - No Health Insurance]]/UninsuredTable[[#This Row],[Total Uninsured Population]])</f>
        <v>635.85579172592975</v>
      </c>
    </row>
    <row r="166" spans="1:19" x14ac:dyDescent="0.3">
      <c r="A166">
        <v>21236</v>
      </c>
      <c r="B166" t="s">
        <v>1050</v>
      </c>
      <c r="C166" t="s">
        <v>992</v>
      </c>
      <c r="D166">
        <v>39135</v>
      </c>
      <c r="E166">
        <f t="shared" si="2"/>
        <v>1902</v>
      </c>
      <c r="F16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1211.2</v>
      </c>
      <c r="G16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1303.8426872975615</v>
      </c>
      <c r="H166" s="28">
        <v>5059</v>
      </c>
      <c r="I166">
        <f>SUM(VLOOKUP(UninsuredTable[[#This Row],[ZIP code]],ModifiedBaseTable!B:R,11,0),VLOOKUP(UninsuredTable[[#This Row],[ZIP code]],ModifiedBaseTable!B:R,17,0))</f>
        <v>513</v>
      </c>
      <c r="J166" s="73">
        <f>UninsuredTable[[#This Row],[Alternate Adj Total Uninsured]]*(UninsuredTable[[#This Row],[Below 138% of FPL - No Health Insurance]]/UninsuredTable[[#This Row],[Total Uninsured Population]])</f>
        <v>351.6673494130647</v>
      </c>
      <c r="K166">
        <v>2198</v>
      </c>
      <c r="L166">
        <v>204</v>
      </c>
      <c r="M166" s="73">
        <f>UninsuredTable[[#This Row],[Alternate Adj Total Uninsured]]*(UninsuredTable[[#This Row],[138% to 199% - No Health Insurance]]/UninsuredTable[[#This Row],[Total Uninsured Population]])</f>
        <v>139.84432608238831</v>
      </c>
      <c r="N166">
        <v>10586</v>
      </c>
      <c r="O166">
        <v>619</v>
      </c>
      <c r="P166" s="73">
        <f>UninsuredTable[[#This Row],[Alternate Adj Total Uninsured]]*(UninsuredTable[[#This Row],[200 to 399% of FPL - No Health Insurance]]/UninsuredTable[[#This Row],[Total Uninsured Population]])</f>
        <v>424.33155806371741</v>
      </c>
      <c r="Q166">
        <v>21292</v>
      </c>
      <c r="R166">
        <v>566</v>
      </c>
      <c r="S166" s="73">
        <f>UninsuredTable[[#This Row],[Alternate Adj Total Uninsured]]*(UninsuredTable[[#This Row],[400% FPL and over - No Health Insurance]]/UninsuredTable[[#This Row],[Total Uninsured Population]])</f>
        <v>387.99945373839103</v>
      </c>
    </row>
    <row r="167" spans="1:19" x14ac:dyDescent="0.3">
      <c r="A167">
        <v>21237</v>
      </c>
      <c r="B167" t="s">
        <v>1022</v>
      </c>
      <c r="C167" t="s">
        <v>992</v>
      </c>
      <c r="D167">
        <v>29865</v>
      </c>
      <c r="E167">
        <f t="shared" si="2"/>
        <v>3175</v>
      </c>
      <c r="F16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1602.4</v>
      </c>
      <c r="G16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1882.238220393665</v>
      </c>
      <c r="H167" s="28">
        <v>3598</v>
      </c>
      <c r="I167">
        <f>SUM(VLOOKUP(UninsuredTable[[#This Row],[ZIP code]],ModifiedBaseTable!B:R,11,0),VLOOKUP(UninsuredTable[[#This Row],[ZIP code]],ModifiedBaseTable!B:R,17,0))</f>
        <v>658</v>
      </c>
      <c r="J167" s="73">
        <f>UninsuredTable[[#This Row],[Alternate Adj Total Uninsured]]*(UninsuredTable[[#This Row],[Below 138% of FPL - No Health Insurance]]/UninsuredTable[[#This Row],[Total Uninsured Population]])</f>
        <v>390.08275559654538</v>
      </c>
      <c r="K167">
        <v>4313</v>
      </c>
      <c r="L167">
        <v>1299</v>
      </c>
      <c r="M167" s="73">
        <f>UninsuredTable[[#This Row],[Alternate Adj Total Uninsured]]*(UninsuredTable[[#This Row],[138% to 199% - No Health Insurance]]/UninsuredTable[[#This Row],[Total Uninsured Population]])</f>
        <v>770.08738528862068</v>
      </c>
      <c r="N167">
        <v>9679</v>
      </c>
      <c r="O167">
        <v>683</v>
      </c>
      <c r="P167" s="73">
        <f>UninsuredTable[[#This Row],[Alternate Adj Total Uninsured]]*(UninsuredTable[[#This Row],[200 to 399% of FPL - No Health Insurance]]/UninsuredTable[[#This Row],[Total Uninsured Population]])</f>
        <v>404.90352898547184</v>
      </c>
      <c r="Q167">
        <v>12275</v>
      </c>
      <c r="R167">
        <v>535</v>
      </c>
      <c r="S167" s="73">
        <f>UninsuredTable[[#This Row],[Alternate Adj Total Uninsured]]*(UninsuredTable[[#This Row],[400% FPL and over - No Health Insurance]]/UninsuredTable[[#This Row],[Total Uninsured Population]])</f>
        <v>317.164550523027</v>
      </c>
    </row>
    <row r="168" spans="1:19" x14ac:dyDescent="0.3">
      <c r="A168">
        <v>21239</v>
      </c>
      <c r="B168" t="s">
        <v>992</v>
      </c>
      <c r="C168" t="s">
        <v>993</v>
      </c>
      <c r="D168">
        <v>30478</v>
      </c>
      <c r="E168">
        <f t="shared" si="2"/>
        <v>1925</v>
      </c>
      <c r="F16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1159.2</v>
      </c>
      <c r="G16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1272.8544308083488</v>
      </c>
      <c r="H168" s="28">
        <v>5061</v>
      </c>
      <c r="I168">
        <f>SUM(VLOOKUP(UninsuredTable[[#This Row],[ZIP code]],ModifiedBaseTable!B:R,11,0),VLOOKUP(UninsuredTable[[#This Row],[ZIP code]],ModifiedBaseTable!B:R,17,0))</f>
        <v>546</v>
      </c>
      <c r="J168" s="73">
        <f>UninsuredTable[[#This Row],[Alternate Adj Total Uninsured]]*(UninsuredTable[[#This Row],[Below 138% of FPL - No Health Insurance]]/UninsuredTable[[#This Row],[Total Uninsured Population]])</f>
        <v>361.02780219291344</v>
      </c>
      <c r="K168">
        <v>4263</v>
      </c>
      <c r="L168">
        <v>528</v>
      </c>
      <c r="M168" s="73">
        <f>UninsuredTable[[#This Row],[Alternate Adj Total Uninsured]]*(UninsuredTable[[#This Row],[138% to 199% - No Health Insurance]]/UninsuredTable[[#This Row],[Total Uninsured Population]])</f>
        <v>349.12578673600427</v>
      </c>
      <c r="N168">
        <v>10707</v>
      </c>
      <c r="O168">
        <v>546</v>
      </c>
      <c r="P168" s="73">
        <f>UninsuredTable[[#This Row],[Alternate Adj Total Uninsured]]*(UninsuredTable[[#This Row],[200 to 399% of FPL - No Health Insurance]]/UninsuredTable[[#This Row],[Total Uninsured Population]])</f>
        <v>361.02780219291344</v>
      </c>
      <c r="Q168">
        <v>10447</v>
      </c>
      <c r="R168">
        <v>305</v>
      </c>
      <c r="S168" s="73">
        <f>UninsuredTable[[#This Row],[Alternate Adj Total Uninsured]]*(UninsuredTable[[#This Row],[400% FPL and over - No Health Insurance]]/UninsuredTable[[#This Row],[Total Uninsured Population]])</f>
        <v>201.6730396865176</v>
      </c>
    </row>
    <row r="169" spans="1:19" x14ac:dyDescent="0.3">
      <c r="A169">
        <v>21244</v>
      </c>
      <c r="B169" t="s">
        <v>1014</v>
      </c>
      <c r="C169" t="s">
        <v>992</v>
      </c>
      <c r="D169">
        <v>35922</v>
      </c>
      <c r="E169">
        <f t="shared" si="2"/>
        <v>3244</v>
      </c>
      <c r="F16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1701.6000000000001</v>
      </c>
      <c r="G16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1968.3058806994231</v>
      </c>
      <c r="H169" s="28">
        <v>5537</v>
      </c>
      <c r="I169">
        <f>SUM(VLOOKUP(UninsuredTable[[#This Row],[ZIP code]],ModifiedBaseTable!B:R,11,0),VLOOKUP(UninsuredTable[[#This Row],[ZIP code]],ModifiedBaseTable!B:R,17,0))</f>
        <v>856</v>
      </c>
      <c r="J169" s="73">
        <f>UninsuredTable[[#This Row],[Alternate Adj Total Uninsured]]*(UninsuredTable[[#This Row],[Below 138% of FPL - No Health Insurance]]/UninsuredTable[[#This Row],[Total Uninsured Population]])</f>
        <v>519.38034336581563</v>
      </c>
      <c r="K169">
        <v>3503</v>
      </c>
      <c r="L169">
        <v>715</v>
      </c>
      <c r="M169" s="73">
        <f>UninsuredTable[[#This Row],[Alternate Adj Total Uninsured]]*(UninsuredTable[[#This Row],[138% to 199% - No Health Insurance]]/UninsuredTable[[#This Row],[Total Uninsured Population]])</f>
        <v>433.82820736747459</v>
      </c>
      <c r="N169">
        <v>10909</v>
      </c>
      <c r="O169">
        <v>1240</v>
      </c>
      <c r="P169" s="73">
        <f>UninsuredTable[[#This Row],[Alternate Adj Total Uninsured]]*(UninsuredTable[[#This Row],[200 to 399% of FPL - No Health Insurance]]/UninsuredTable[[#This Row],[Total Uninsured Population]])</f>
        <v>752.37339459534053</v>
      </c>
      <c r="Q169">
        <v>15973</v>
      </c>
      <c r="R169">
        <v>433</v>
      </c>
      <c r="S169" s="73">
        <f>UninsuredTable[[#This Row],[Alternate Adj Total Uninsured]]*(UninsuredTable[[#This Row],[400% FPL and over - No Health Insurance]]/UninsuredTable[[#This Row],[Total Uninsured Population]])</f>
        <v>262.72393537079228</v>
      </c>
    </row>
    <row r="170" spans="1:19" x14ac:dyDescent="0.3">
      <c r="A170">
        <v>21286</v>
      </c>
      <c r="B170" t="s">
        <v>1090</v>
      </c>
      <c r="C170" t="s">
        <v>992</v>
      </c>
      <c r="D170">
        <v>18285</v>
      </c>
      <c r="E170">
        <f t="shared" si="2"/>
        <v>661</v>
      </c>
      <c r="F17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661</v>
      </c>
      <c r="G17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661</v>
      </c>
      <c r="H170" s="28">
        <v>2403</v>
      </c>
      <c r="I170">
        <f>SUM(VLOOKUP(UninsuredTable[[#This Row],[ZIP code]],ModifiedBaseTable!B:R,11,0),VLOOKUP(UninsuredTable[[#This Row],[ZIP code]],ModifiedBaseTable!B:R,17,0))</f>
        <v>263</v>
      </c>
      <c r="J170" s="73">
        <f>UninsuredTable[[#This Row],[Alternate Adj Total Uninsured]]*(UninsuredTable[[#This Row],[Below 138% of FPL - No Health Insurance]]/UninsuredTable[[#This Row],[Total Uninsured Population]])</f>
        <v>263</v>
      </c>
      <c r="K170">
        <v>882</v>
      </c>
      <c r="L170">
        <v>54</v>
      </c>
      <c r="M170" s="73">
        <f>UninsuredTable[[#This Row],[Alternate Adj Total Uninsured]]*(UninsuredTable[[#This Row],[138% to 199% - No Health Insurance]]/UninsuredTable[[#This Row],[Total Uninsured Population]])</f>
        <v>53.999999999999993</v>
      </c>
      <c r="N170">
        <v>3727</v>
      </c>
      <c r="O170">
        <v>155</v>
      </c>
      <c r="P170" s="73">
        <f>UninsuredTable[[#This Row],[Alternate Adj Total Uninsured]]*(UninsuredTable[[#This Row],[200 to 399% of FPL - No Health Insurance]]/UninsuredTable[[#This Row],[Total Uninsured Population]])</f>
        <v>155</v>
      </c>
      <c r="Q170">
        <v>11273</v>
      </c>
      <c r="R170">
        <v>189</v>
      </c>
      <c r="S170" s="73">
        <f>UninsuredTable[[#This Row],[Alternate Adj Total Uninsured]]*(UninsuredTable[[#This Row],[400% FPL and over - No Health Insurance]]/UninsuredTable[[#This Row],[Total Uninsured Population]])</f>
        <v>189</v>
      </c>
    </row>
    <row r="171" spans="1:19" x14ac:dyDescent="0.3">
      <c r="A171">
        <v>21401</v>
      </c>
      <c r="B171" t="s">
        <v>1042</v>
      </c>
      <c r="C171" t="s">
        <v>996</v>
      </c>
      <c r="D171">
        <v>34880</v>
      </c>
      <c r="E171">
        <f t="shared" si="2"/>
        <v>1856</v>
      </c>
      <c r="F17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748.80000000000007</v>
      </c>
      <c r="G17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968.46822761277474</v>
      </c>
      <c r="H171" s="28">
        <v>3528</v>
      </c>
      <c r="I171">
        <f>SUM(VLOOKUP(UninsuredTable[[#This Row],[ZIP code]],ModifiedBaseTable!B:R,11,0),VLOOKUP(UninsuredTable[[#This Row],[ZIP code]],ModifiedBaseTable!B:R,17,0))</f>
        <v>521</v>
      </c>
      <c r="J171" s="73">
        <f>UninsuredTable[[#This Row],[Alternate Adj Total Uninsured]]*(UninsuredTable[[#This Row],[Below 138% of FPL - No Health Insurance]]/UninsuredTable[[#This Row],[Total Uninsured Population]])</f>
        <v>271.85988501414636</v>
      </c>
      <c r="K171">
        <v>2324</v>
      </c>
      <c r="L171">
        <v>269</v>
      </c>
      <c r="M171" s="73">
        <f>UninsuredTable[[#This Row],[Alternate Adj Total Uninsured]]*(UninsuredTable[[#This Row],[138% to 199% - No Health Insurance]]/UninsuredTable[[#This Row],[Total Uninsured Population]])</f>
        <v>140.36527652361877</v>
      </c>
      <c r="N171">
        <v>7077</v>
      </c>
      <c r="O171">
        <v>811</v>
      </c>
      <c r="P171" s="73">
        <f>UninsuredTable[[#This Row],[Alternate Adj Total Uninsured]]*(UninsuredTable[[#This Row],[200 to 399% of FPL - No Health Insurance]]/UninsuredTable[[#This Row],[Total Uninsured Population]])</f>
        <v>423.18304557864241</v>
      </c>
      <c r="Q171">
        <v>21951</v>
      </c>
      <c r="R171">
        <v>255</v>
      </c>
      <c r="S171" s="73">
        <f>UninsuredTable[[#This Row],[Alternate Adj Total Uninsured]]*(UninsuredTable[[#This Row],[400% FPL and over - No Health Insurance]]/UninsuredTable[[#This Row],[Total Uninsured Population]])</f>
        <v>133.0600204963672</v>
      </c>
    </row>
    <row r="172" spans="1:19" x14ac:dyDescent="0.3">
      <c r="A172">
        <v>21403</v>
      </c>
      <c r="B172" t="s">
        <v>1042</v>
      </c>
      <c r="C172" t="s">
        <v>996</v>
      </c>
      <c r="D172">
        <v>30502</v>
      </c>
      <c r="E172">
        <f t="shared" si="2"/>
        <v>3008</v>
      </c>
      <c r="F17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942.40000000000009</v>
      </c>
      <c r="G17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1379.3487570993236</v>
      </c>
      <c r="H172" s="28">
        <v>3833</v>
      </c>
      <c r="I172">
        <f>SUM(VLOOKUP(UninsuredTable[[#This Row],[ZIP code]],ModifiedBaseTable!B:R,11,0),VLOOKUP(UninsuredTable[[#This Row],[ZIP code]],ModifiedBaseTable!B:R,17,0))</f>
        <v>761</v>
      </c>
      <c r="J172" s="73">
        <f>UninsuredTable[[#This Row],[Alternate Adj Total Uninsured]]*(UninsuredTable[[#This Row],[Below 138% of FPL - No Health Insurance]]/UninsuredTable[[#This Row],[Total Uninsured Population]])</f>
        <v>348.964230103918</v>
      </c>
      <c r="K172">
        <v>3143</v>
      </c>
      <c r="L172">
        <v>892</v>
      </c>
      <c r="M172" s="73">
        <f>UninsuredTable[[#This Row],[Alternate Adj Total Uninsured]]*(UninsuredTable[[#This Row],[138% to 199% - No Health Insurance]]/UninsuredTable[[#This Row],[Total Uninsured Population]])</f>
        <v>409.03560217174095</v>
      </c>
      <c r="N172">
        <v>6667</v>
      </c>
      <c r="O172">
        <v>735</v>
      </c>
      <c r="P172" s="73">
        <f>UninsuredTable[[#This Row],[Alternate Adj Total Uninsured]]*(UninsuredTable[[#This Row],[200 to 399% of FPL - No Health Insurance]]/UninsuredTable[[#This Row],[Total Uninsured Population]])</f>
        <v>337.04166770877754</v>
      </c>
      <c r="Q172">
        <v>16859</v>
      </c>
      <c r="R172">
        <v>620</v>
      </c>
      <c r="S172" s="73">
        <f>UninsuredTable[[#This Row],[Alternate Adj Total Uninsured]]*(UninsuredTable[[#This Row],[400% FPL and over - No Health Insurance]]/UninsuredTable[[#This Row],[Total Uninsured Population]])</f>
        <v>284.30725711488719</v>
      </c>
    </row>
    <row r="173" spans="1:19" x14ac:dyDescent="0.3">
      <c r="A173">
        <v>21409</v>
      </c>
      <c r="B173" t="s">
        <v>1042</v>
      </c>
      <c r="C173" t="s">
        <v>996</v>
      </c>
      <c r="D173">
        <v>20255</v>
      </c>
      <c r="E173">
        <f t="shared" si="2"/>
        <v>728</v>
      </c>
      <c r="F17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728</v>
      </c>
      <c r="G17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728</v>
      </c>
      <c r="H173" s="28">
        <v>1101</v>
      </c>
      <c r="I173">
        <f>SUM(VLOOKUP(UninsuredTable[[#This Row],[ZIP code]],ModifiedBaseTable!B:R,11,0),VLOOKUP(UninsuredTable[[#This Row],[ZIP code]],ModifiedBaseTable!B:R,17,0))</f>
        <v>169</v>
      </c>
      <c r="J173" s="73">
        <f>UninsuredTable[[#This Row],[Alternate Adj Total Uninsured]]*(UninsuredTable[[#This Row],[Below 138% of FPL - No Health Insurance]]/UninsuredTable[[#This Row],[Total Uninsured Population]])</f>
        <v>169</v>
      </c>
      <c r="K173">
        <v>926</v>
      </c>
      <c r="L173">
        <v>80</v>
      </c>
      <c r="M173" s="73">
        <f>UninsuredTable[[#This Row],[Alternate Adj Total Uninsured]]*(UninsuredTable[[#This Row],[138% to 199% - No Health Insurance]]/UninsuredTable[[#This Row],[Total Uninsured Population]])</f>
        <v>80</v>
      </c>
      <c r="N173">
        <v>3706</v>
      </c>
      <c r="O173">
        <v>247</v>
      </c>
      <c r="P173" s="73">
        <f>UninsuredTable[[#This Row],[Alternate Adj Total Uninsured]]*(UninsuredTable[[#This Row],[200 to 399% of FPL - No Health Insurance]]/UninsuredTable[[#This Row],[Total Uninsured Population]])</f>
        <v>247</v>
      </c>
      <c r="Q173">
        <v>14522</v>
      </c>
      <c r="R173">
        <v>232</v>
      </c>
      <c r="S173" s="73">
        <f>UninsuredTable[[#This Row],[Alternate Adj Total Uninsured]]*(UninsuredTable[[#This Row],[400% FPL and over - No Health Insurance]]/UninsuredTable[[#This Row],[Total Uninsured Population]])</f>
        <v>231.99999999999997</v>
      </c>
    </row>
    <row r="174" spans="1:19" x14ac:dyDescent="0.3">
      <c r="A174">
        <v>21502</v>
      </c>
      <c r="B174" t="s">
        <v>1031</v>
      </c>
      <c r="C174" t="s">
        <v>1032</v>
      </c>
      <c r="D174">
        <v>37545</v>
      </c>
      <c r="E174">
        <f t="shared" si="2"/>
        <v>2454</v>
      </c>
      <c r="F17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1903.2</v>
      </c>
      <c r="G17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1921.1077359466938</v>
      </c>
      <c r="H174" s="28">
        <v>10724</v>
      </c>
      <c r="I174">
        <f>SUM(VLOOKUP(UninsuredTable[[#This Row],[ZIP code]],ModifiedBaseTable!B:R,11,0),VLOOKUP(UninsuredTable[[#This Row],[ZIP code]],ModifiedBaseTable!B:R,17,0))</f>
        <v>1012</v>
      </c>
      <c r="J174" s="73">
        <f>UninsuredTable[[#This Row],[Alternate Adj Total Uninsured]]*(UninsuredTable[[#This Row],[Below 138% of FPL - No Health Insurance]]/UninsuredTable[[#This Row],[Total Uninsured Population]])</f>
        <v>792.241658018767</v>
      </c>
      <c r="K174">
        <v>4008</v>
      </c>
      <c r="L174">
        <v>320</v>
      </c>
      <c r="M174" s="73">
        <f>UninsuredTable[[#This Row],[Alternate Adj Total Uninsured]]*(UninsuredTable[[#This Row],[138% to 199% - No Health Insurance]]/UninsuredTable[[#This Row],[Total Uninsured Population]])</f>
        <v>250.51119621146779</v>
      </c>
      <c r="N174">
        <v>12304</v>
      </c>
      <c r="O174">
        <v>760</v>
      </c>
      <c r="P174" s="73">
        <f>UninsuredTable[[#This Row],[Alternate Adj Total Uninsured]]*(UninsuredTable[[#This Row],[200 to 399% of FPL - No Health Insurance]]/UninsuredTable[[#This Row],[Total Uninsured Population]])</f>
        <v>594.96409100223605</v>
      </c>
      <c r="Q174">
        <v>10509</v>
      </c>
      <c r="R174">
        <v>362</v>
      </c>
      <c r="S174" s="73">
        <f>UninsuredTable[[#This Row],[Alternate Adj Total Uninsured]]*(UninsuredTable[[#This Row],[400% FPL and over - No Health Insurance]]/UninsuredTable[[#This Row],[Total Uninsured Population]])</f>
        <v>283.39079071422299</v>
      </c>
    </row>
    <row r="175" spans="1:19" x14ac:dyDescent="0.3">
      <c r="A175">
        <v>21532</v>
      </c>
      <c r="B175" t="s">
        <v>1099</v>
      </c>
      <c r="C175" t="s">
        <v>1032</v>
      </c>
      <c r="D175">
        <v>13180</v>
      </c>
      <c r="E175">
        <f t="shared" si="2"/>
        <v>565</v>
      </c>
      <c r="F17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565</v>
      </c>
      <c r="G17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565</v>
      </c>
      <c r="H175" s="28">
        <v>3159</v>
      </c>
      <c r="I175">
        <f>SUM(VLOOKUP(UninsuredTable[[#This Row],[ZIP code]],ModifiedBaseTable!B:R,11,0),VLOOKUP(UninsuredTable[[#This Row],[ZIP code]],ModifiedBaseTable!B:R,17,0))</f>
        <v>151</v>
      </c>
      <c r="J175" s="73">
        <f>UninsuredTable[[#This Row],[Alternate Adj Total Uninsured]]*(UninsuredTable[[#This Row],[Below 138% of FPL - No Health Insurance]]/UninsuredTable[[#This Row],[Total Uninsured Population]])</f>
        <v>151</v>
      </c>
      <c r="K175">
        <v>1422</v>
      </c>
      <c r="L175">
        <v>163</v>
      </c>
      <c r="M175" s="73">
        <f>UninsuredTable[[#This Row],[Alternate Adj Total Uninsured]]*(UninsuredTable[[#This Row],[138% to 199% - No Health Insurance]]/UninsuredTable[[#This Row],[Total Uninsured Population]])</f>
        <v>163</v>
      </c>
      <c r="N175">
        <v>3848</v>
      </c>
      <c r="O175">
        <v>247</v>
      </c>
      <c r="P175" s="73">
        <f>UninsuredTable[[#This Row],[Alternate Adj Total Uninsured]]*(UninsuredTable[[#This Row],[200 to 399% of FPL - No Health Insurance]]/UninsuredTable[[#This Row],[Total Uninsured Population]])</f>
        <v>247</v>
      </c>
      <c r="Q175">
        <v>4751</v>
      </c>
      <c r="R175">
        <v>4</v>
      </c>
      <c r="S175" s="73">
        <f>UninsuredTable[[#This Row],[Alternate Adj Total Uninsured]]*(UninsuredTable[[#This Row],[400% FPL and over - No Health Insurance]]/UninsuredTable[[#This Row],[Total Uninsured Population]])</f>
        <v>4</v>
      </c>
    </row>
    <row r="176" spans="1:19" x14ac:dyDescent="0.3">
      <c r="A176">
        <v>21550</v>
      </c>
      <c r="B176" t="s">
        <v>1063</v>
      </c>
      <c r="C176" t="s">
        <v>1064</v>
      </c>
      <c r="D176">
        <v>14227</v>
      </c>
      <c r="E176">
        <f t="shared" si="2"/>
        <v>1172</v>
      </c>
      <c r="F17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937.6</v>
      </c>
      <c r="G17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937.6</v>
      </c>
      <c r="H176" s="28">
        <v>2970</v>
      </c>
      <c r="I176">
        <f>SUM(VLOOKUP(UninsuredTable[[#This Row],[ZIP code]],ModifiedBaseTable!B:R,11,0),VLOOKUP(UninsuredTable[[#This Row],[ZIP code]],ModifiedBaseTable!B:R,17,0))</f>
        <v>280</v>
      </c>
      <c r="J176" s="73">
        <f>UninsuredTable[[#This Row],[Alternate Adj Total Uninsured]]*(UninsuredTable[[#This Row],[Below 138% of FPL - No Health Insurance]]/UninsuredTable[[#This Row],[Total Uninsured Population]])</f>
        <v>224</v>
      </c>
      <c r="K176">
        <v>2276</v>
      </c>
      <c r="L176">
        <v>282</v>
      </c>
      <c r="M176" s="73">
        <f>UninsuredTable[[#This Row],[Alternate Adj Total Uninsured]]*(UninsuredTable[[#This Row],[138% to 199% - No Health Insurance]]/UninsuredTable[[#This Row],[Total Uninsured Population]])</f>
        <v>225.6</v>
      </c>
      <c r="N176">
        <v>4872</v>
      </c>
      <c r="O176">
        <v>387</v>
      </c>
      <c r="P176" s="73">
        <f>UninsuredTable[[#This Row],[Alternate Adj Total Uninsured]]*(UninsuredTable[[#This Row],[200 to 399% of FPL - No Health Insurance]]/UninsuredTable[[#This Row],[Total Uninsured Population]])</f>
        <v>309.60000000000002</v>
      </c>
      <c r="Q176">
        <v>4109</v>
      </c>
      <c r="R176">
        <v>223</v>
      </c>
      <c r="S176" s="73">
        <f>UninsuredTable[[#This Row],[Alternate Adj Total Uninsured]]*(UninsuredTable[[#This Row],[400% FPL and over - No Health Insurance]]/UninsuredTable[[#This Row],[Total Uninsured Population]])</f>
        <v>178.4</v>
      </c>
    </row>
    <row r="177" spans="1:19" x14ac:dyDescent="0.3">
      <c r="A177">
        <v>21536</v>
      </c>
      <c r="B177" t="s">
        <v>1138</v>
      </c>
      <c r="C177" t="s">
        <v>1064</v>
      </c>
      <c r="D177">
        <v>3882</v>
      </c>
      <c r="E177">
        <f t="shared" si="2"/>
        <v>345</v>
      </c>
      <c r="F17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345</v>
      </c>
      <c r="G17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345</v>
      </c>
      <c r="H177" s="28">
        <v>870</v>
      </c>
      <c r="I177">
        <f>SUM(VLOOKUP(UninsuredTable[[#This Row],[ZIP code]],ModifiedBaseTable!B:R,11,0),VLOOKUP(UninsuredTable[[#This Row],[ZIP code]],ModifiedBaseTable!B:R,17,0))</f>
        <v>117</v>
      </c>
      <c r="J177" s="73">
        <f>UninsuredTable[[#This Row],[Alternate Adj Total Uninsured]]*(UninsuredTable[[#This Row],[Below 138% of FPL - No Health Insurance]]/UninsuredTable[[#This Row],[Total Uninsured Population]])</f>
        <v>117</v>
      </c>
      <c r="K177">
        <v>512</v>
      </c>
      <c r="L177">
        <v>56</v>
      </c>
      <c r="M177" s="73">
        <f>UninsuredTable[[#This Row],[Alternate Adj Total Uninsured]]*(UninsuredTable[[#This Row],[138% to 199% - No Health Insurance]]/UninsuredTable[[#This Row],[Total Uninsured Population]])</f>
        <v>55.999999999999993</v>
      </c>
      <c r="N177">
        <v>1405</v>
      </c>
      <c r="O177">
        <v>91</v>
      </c>
      <c r="P177" s="73">
        <f>UninsuredTable[[#This Row],[Alternate Adj Total Uninsured]]*(UninsuredTable[[#This Row],[200 to 399% of FPL - No Health Insurance]]/UninsuredTable[[#This Row],[Total Uninsured Population]])</f>
        <v>91</v>
      </c>
      <c r="Q177">
        <v>1095</v>
      </c>
      <c r="R177">
        <v>81</v>
      </c>
      <c r="S177" s="73">
        <f>UninsuredTable[[#This Row],[Alternate Adj Total Uninsured]]*(UninsuredTable[[#This Row],[400% FPL and over - No Health Insurance]]/UninsuredTable[[#This Row],[Total Uninsured Population]])</f>
        <v>81</v>
      </c>
    </row>
    <row r="178" spans="1:19" x14ac:dyDescent="0.3">
      <c r="A178">
        <v>21601</v>
      </c>
      <c r="B178" t="s">
        <v>1056</v>
      </c>
      <c r="C178" t="s">
        <v>1057</v>
      </c>
      <c r="D178">
        <v>23571</v>
      </c>
      <c r="E178">
        <f t="shared" si="2"/>
        <v>1573</v>
      </c>
      <c r="F17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876</v>
      </c>
      <c r="G17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990.13197043359378</v>
      </c>
      <c r="H178" s="28">
        <v>4213</v>
      </c>
      <c r="I178">
        <f>SUM(VLOOKUP(UninsuredTable[[#This Row],[ZIP code]],ModifiedBaseTable!B:R,11,0),VLOOKUP(UninsuredTable[[#This Row],[ZIP code]],ModifiedBaseTable!B:R,17,0))</f>
        <v>452</v>
      </c>
      <c r="J178" s="73">
        <f>UninsuredTable[[#This Row],[Alternate Adj Total Uninsured]]*(UninsuredTable[[#This Row],[Below 138% of FPL - No Health Insurance]]/UninsuredTable[[#This Row],[Total Uninsured Population]])</f>
        <v>284.51344604957683</v>
      </c>
      <c r="K178">
        <v>2280</v>
      </c>
      <c r="L178">
        <v>460</v>
      </c>
      <c r="M178" s="73">
        <f>UninsuredTable[[#This Row],[Alternate Adj Total Uninsured]]*(UninsuredTable[[#This Row],[138% to 199% - No Health Insurance]]/UninsuredTable[[#This Row],[Total Uninsured Population]])</f>
        <v>289.54908226284368</v>
      </c>
      <c r="N178">
        <v>6718</v>
      </c>
      <c r="O178">
        <v>357</v>
      </c>
      <c r="P178" s="73">
        <f>UninsuredTable[[#This Row],[Alternate Adj Total Uninsured]]*(UninsuredTable[[#This Row],[200 to 399% of FPL - No Health Insurance]]/UninsuredTable[[#This Row],[Total Uninsured Population]])</f>
        <v>224.71526601703303</v>
      </c>
      <c r="Q178">
        <v>10360</v>
      </c>
      <c r="R178">
        <v>304</v>
      </c>
      <c r="S178" s="73">
        <f>UninsuredTable[[#This Row],[Alternate Adj Total Uninsured]]*(UninsuredTable[[#This Row],[400% FPL and over - No Health Insurance]]/UninsuredTable[[#This Row],[Total Uninsured Population]])</f>
        <v>191.35417610414018</v>
      </c>
    </row>
    <row r="179" spans="1:19" x14ac:dyDescent="0.3">
      <c r="A179">
        <v>21613</v>
      </c>
      <c r="B179" t="s">
        <v>1096</v>
      </c>
      <c r="C179" t="s">
        <v>1097</v>
      </c>
      <c r="D179">
        <v>17048</v>
      </c>
      <c r="E179">
        <f t="shared" si="2"/>
        <v>814</v>
      </c>
      <c r="F17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814</v>
      </c>
      <c r="G17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814</v>
      </c>
      <c r="H179" s="28">
        <v>4629</v>
      </c>
      <c r="I179">
        <f>SUM(VLOOKUP(UninsuredTable[[#This Row],[ZIP code]],ModifiedBaseTable!B:R,11,0),VLOOKUP(UninsuredTable[[#This Row],[ZIP code]],ModifiedBaseTable!B:R,17,0))</f>
        <v>208</v>
      </c>
      <c r="J179" s="73">
        <f>UninsuredTable[[#This Row],[Alternate Adj Total Uninsured]]*(UninsuredTable[[#This Row],[Below 138% of FPL - No Health Insurance]]/UninsuredTable[[#This Row],[Total Uninsured Population]])</f>
        <v>208</v>
      </c>
      <c r="K179">
        <v>2447</v>
      </c>
      <c r="L179">
        <v>133</v>
      </c>
      <c r="M179" s="73">
        <f>UninsuredTable[[#This Row],[Alternate Adj Total Uninsured]]*(UninsuredTable[[#This Row],[138% to 199% - No Health Insurance]]/UninsuredTable[[#This Row],[Total Uninsured Population]])</f>
        <v>133</v>
      </c>
      <c r="N179">
        <v>4465</v>
      </c>
      <c r="O179">
        <v>257</v>
      </c>
      <c r="P179" s="73">
        <f>UninsuredTable[[#This Row],[Alternate Adj Total Uninsured]]*(UninsuredTable[[#This Row],[200 to 399% of FPL - No Health Insurance]]/UninsuredTable[[#This Row],[Total Uninsured Population]])</f>
        <v>257</v>
      </c>
      <c r="Q179">
        <v>5507</v>
      </c>
      <c r="R179">
        <v>216</v>
      </c>
      <c r="S179" s="73">
        <f>UninsuredTable[[#This Row],[Alternate Adj Total Uninsured]]*(UninsuredTable[[#This Row],[400% FPL and over - No Health Insurance]]/UninsuredTable[[#This Row],[Total Uninsured Population]])</f>
        <v>215.99999999999997</v>
      </c>
    </row>
    <row r="180" spans="1:19" x14ac:dyDescent="0.3">
      <c r="A180">
        <v>21619</v>
      </c>
      <c r="B180" t="s">
        <v>1140</v>
      </c>
      <c r="C180" t="s">
        <v>1141</v>
      </c>
      <c r="D180">
        <v>6168</v>
      </c>
      <c r="E180">
        <f t="shared" si="2"/>
        <v>522</v>
      </c>
      <c r="F18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522</v>
      </c>
      <c r="G18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522</v>
      </c>
      <c r="H180" s="28">
        <v>603</v>
      </c>
      <c r="I180">
        <f>SUM(VLOOKUP(UninsuredTable[[#This Row],[ZIP code]],ModifiedBaseTable!B:R,11,0),VLOOKUP(UninsuredTable[[#This Row],[ZIP code]],ModifiedBaseTable!B:R,17,0))</f>
        <v>20</v>
      </c>
      <c r="J180" s="73">
        <f>UninsuredTable[[#This Row],[Alternate Adj Total Uninsured]]*(UninsuredTable[[#This Row],[Below 138% of FPL - No Health Insurance]]/UninsuredTable[[#This Row],[Total Uninsured Population]])</f>
        <v>20</v>
      </c>
      <c r="K180">
        <v>616</v>
      </c>
      <c r="L180">
        <v>403</v>
      </c>
      <c r="M180" s="73">
        <f>UninsuredTable[[#This Row],[Alternate Adj Total Uninsured]]*(UninsuredTable[[#This Row],[138% to 199% - No Health Insurance]]/UninsuredTable[[#This Row],[Total Uninsured Population]])</f>
        <v>403</v>
      </c>
      <c r="N180">
        <v>1343</v>
      </c>
      <c r="O180">
        <v>56</v>
      </c>
      <c r="P180" s="73">
        <f>UninsuredTable[[#This Row],[Alternate Adj Total Uninsured]]*(UninsuredTable[[#This Row],[200 to 399% of FPL - No Health Insurance]]/UninsuredTable[[#This Row],[Total Uninsured Population]])</f>
        <v>56</v>
      </c>
      <c r="Q180">
        <v>3606</v>
      </c>
      <c r="R180">
        <v>43</v>
      </c>
      <c r="S180" s="73">
        <f>UninsuredTable[[#This Row],[Alternate Adj Total Uninsured]]*(UninsuredTable[[#This Row],[400% FPL and over - No Health Insurance]]/UninsuredTable[[#This Row],[Total Uninsured Population]])</f>
        <v>43</v>
      </c>
    </row>
    <row r="181" spans="1:19" x14ac:dyDescent="0.3">
      <c r="A181">
        <v>21617</v>
      </c>
      <c r="B181" t="s">
        <v>1145</v>
      </c>
      <c r="C181" t="s">
        <v>1141</v>
      </c>
      <c r="D181">
        <v>10316</v>
      </c>
      <c r="E181">
        <f t="shared" si="2"/>
        <v>395</v>
      </c>
      <c r="F18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395</v>
      </c>
      <c r="G18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395</v>
      </c>
      <c r="H181" s="28">
        <v>604</v>
      </c>
      <c r="I181">
        <f>SUM(VLOOKUP(UninsuredTable[[#This Row],[ZIP code]],ModifiedBaseTable!B:R,11,0),VLOOKUP(UninsuredTable[[#This Row],[ZIP code]],ModifiedBaseTable!B:R,17,0))</f>
        <v>35</v>
      </c>
      <c r="J181" s="73">
        <f>UninsuredTable[[#This Row],[Alternate Adj Total Uninsured]]*(UninsuredTable[[#This Row],[Below 138% of FPL - No Health Insurance]]/UninsuredTable[[#This Row],[Total Uninsured Population]])</f>
        <v>35</v>
      </c>
      <c r="K181">
        <v>428</v>
      </c>
      <c r="L181">
        <v>77</v>
      </c>
      <c r="M181" s="73">
        <f>UninsuredTable[[#This Row],[Alternate Adj Total Uninsured]]*(UninsuredTable[[#This Row],[138% to 199% - No Health Insurance]]/UninsuredTable[[#This Row],[Total Uninsured Population]])</f>
        <v>77</v>
      </c>
      <c r="N181">
        <v>2085</v>
      </c>
      <c r="O181">
        <v>130</v>
      </c>
      <c r="P181" s="73">
        <f>UninsuredTable[[#This Row],[Alternate Adj Total Uninsured]]*(UninsuredTable[[#This Row],[200 to 399% of FPL - No Health Insurance]]/UninsuredTable[[#This Row],[Total Uninsured Population]])</f>
        <v>130</v>
      </c>
      <c r="Q181">
        <v>7199</v>
      </c>
      <c r="R181">
        <v>153</v>
      </c>
      <c r="S181" s="73">
        <f>UninsuredTable[[#This Row],[Alternate Adj Total Uninsured]]*(UninsuredTable[[#This Row],[400% FPL and over - No Health Insurance]]/UninsuredTable[[#This Row],[Total Uninsured Population]])</f>
        <v>153</v>
      </c>
    </row>
    <row r="182" spans="1:19" x14ac:dyDescent="0.3">
      <c r="A182">
        <v>21620</v>
      </c>
      <c r="B182" t="s">
        <v>1130</v>
      </c>
      <c r="C182" t="s">
        <v>1131</v>
      </c>
      <c r="D182">
        <v>11052</v>
      </c>
      <c r="E182">
        <f t="shared" si="2"/>
        <v>449</v>
      </c>
      <c r="F18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449</v>
      </c>
      <c r="G18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449</v>
      </c>
      <c r="H182" s="28">
        <v>2420</v>
      </c>
      <c r="I182">
        <f>SUM(VLOOKUP(UninsuredTable[[#This Row],[ZIP code]],ModifiedBaseTable!B:R,11,0),VLOOKUP(UninsuredTable[[#This Row],[ZIP code]],ModifiedBaseTable!B:R,17,0))</f>
        <v>131</v>
      </c>
      <c r="J182" s="73">
        <f>UninsuredTable[[#This Row],[Alternate Adj Total Uninsured]]*(UninsuredTable[[#This Row],[Below 138% of FPL - No Health Insurance]]/UninsuredTable[[#This Row],[Total Uninsured Population]])</f>
        <v>131</v>
      </c>
      <c r="K182">
        <v>930</v>
      </c>
      <c r="L182">
        <v>51</v>
      </c>
      <c r="M182" s="73">
        <f>UninsuredTable[[#This Row],[Alternate Adj Total Uninsured]]*(UninsuredTable[[#This Row],[138% to 199% - No Health Insurance]]/UninsuredTable[[#This Row],[Total Uninsured Population]])</f>
        <v>51</v>
      </c>
      <c r="N182">
        <v>3318</v>
      </c>
      <c r="O182">
        <v>214</v>
      </c>
      <c r="P182" s="73">
        <f>UninsuredTable[[#This Row],[Alternate Adj Total Uninsured]]*(UninsuredTable[[#This Row],[200 to 399% of FPL - No Health Insurance]]/UninsuredTable[[#This Row],[Total Uninsured Population]])</f>
        <v>214</v>
      </c>
      <c r="Q182">
        <v>4384</v>
      </c>
      <c r="R182">
        <v>53</v>
      </c>
      <c r="S182" s="73">
        <f>UninsuredTable[[#This Row],[Alternate Adj Total Uninsured]]*(UninsuredTable[[#This Row],[400% FPL and over - No Health Insurance]]/UninsuredTable[[#This Row],[Total Uninsured Population]])</f>
        <v>53</v>
      </c>
    </row>
    <row r="183" spans="1:19" x14ac:dyDescent="0.3">
      <c r="A183">
        <v>21629</v>
      </c>
      <c r="B183" t="s">
        <v>1094</v>
      </c>
      <c r="C183" t="s">
        <v>1095</v>
      </c>
      <c r="D183">
        <v>9264</v>
      </c>
      <c r="E183">
        <f t="shared" si="2"/>
        <v>726</v>
      </c>
      <c r="F18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726</v>
      </c>
      <c r="G18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726</v>
      </c>
      <c r="H183" s="28">
        <v>1781</v>
      </c>
      <c r="I183">
        <f>SUM(VLOOKUP(UninsuredTable[[#This Row],[ZIP code]],ModifiedBaseTable!B:R,11,0),VLOOKUP(UninsuredTable[[#This Row],[ZIP code]],ModifiedBaseTable!B:R,17,0))</f>
        <v>124</v>
      </c>
      <c r="J183" s="73">
        <f>UninsuredTable[[#This Row],[Alternate Adj Total Uninsured]]*(UninsuredTable[[#This Row],[Below 138% of FPL - No Health Insurance]]/UninsuredTable[[#This Row],[Total Uninsured Population]])</f>
        <v>124</v>
      </c>
      <c r="K183">
        <v>840</v>
      </c>
      <c r="L183">
        <v>69</v>
      </c>
      <c r="M183" s="73">
        <f>UninsuredTable[[#This Row],[Alternate Adj Total Uninsured]]*(UninsuredTable[[#This Row],[138% to 199% - No Health Insurance]]/UninsuredTable[[#This Row],[Total Uninsured Population]])</f>
        <v>69</v>
      </c>
      <c r="N183">
        <v>3162</v>
      </c>
      <c r="O183">
        <v>384</v>
      </c>
      <c r="P183" s="73">
        <f>UninsuredTable[[#This Row],[Alternate Adj Total Uninsured]]*(UninsuredTable[[#This Row],[200 to 399% of FPL - No Health Insurance]]/UninsuredTable[[#This Row],[Total Uninsured Population]])</f>
        <v>384</v>
      </c>
      <c r="Q183">
        <v>3481</v>
      </c>
      <c r="R183">
        <v>149</v>
      </c>
      <c r="S183" s="73">
        <f>UninsuredTable[[#This Row],[Alternate Adj Total Uninsured]]*(UninsuredTable[[#This Row],[400% FPL and over - No Health Insurance]]/UninsuredTable[[#This Row],[Total Uninsured Population]])</f>
        <v>149</v>
      </c>
    </row>
    <row r="184" spans="1:19" x14ac:dyDescent="0.3">
      <c r="A184">
        <v>21632</v>
      </c>
      <c r="B184" t="s">
        <v>1111</v>
      </c>
      <c r="C184" t="s">
        <v>1095</v>
      </c>
      <c r="D184">
        <v>5855</v>
      </c>
      <c r="E184">
        <f t="shared" si="2"/>
        <v>421</v>
      </c>
      <c r="F18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421</v>
      </c>
      <c r="G18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421</v>
      </c>
      <c r="H184" s="28">
        <v>1909</v>
      </c>
      <c r="I184">
        <f>SUM(VLOOKUP(UninsuredTable[[#This Row],[ZIP code]],ModifiedBaseTable!B:R,11,0),VLOOKUP(UninsuredTable[[#This Row],[ZIP code]],ModifiedBaseTable!B:R,17,0))</f>
        <v>161</v>
      </c>
      <c r="J184" s="73">
        <f>UninsuredTable[[#This Row],[Alternate Adj Total Uninsured]]*(UninsuredTable[[#This Row],[Below 138% of FPL - No Health Insurance]]/UninsuredTable[[#This Row],[Total Uninsured Population]])</f>
        <v>161</v>
      </c>
      <c r="K184">
        <v>780</v>
      </c>
      <c r="L184">
        <v>69</v>
      </c>
      <c r="M184" s="73">
        <f>UninsuredTable[[#This Row],[Alternate Adj Total Uninsured]]*(UninsuredTable[[#This Row],[138% to 199% - No Health Insurance]]/UninsuredTable[[#This Row],[Total Uninsured Population]])</f>
        <v>69</v>
      </c>
      <c r="N184">
        <v>1949</v>
      </c>
      <c r="O184">
        <v>153</v>
      </c>
      <c r="P184" s="73">
        <f>UninsuredTable[[#This Row],[Alternate Adj Total Uninsured]]*(UninsuredTable[[#This Row],[200 to 399% of FPL - No Health Insurance]]/UninsuredTable[[#This Row],[Total Uninsured Population]])</f>
        <v>153</v>
      </c>
      <c r="Q184">
        <v>1217</v>
      </c>
      <c r="R184">
        <v>38</v>
      </c>
      <c r="S184" s="73">
        <f>UninsuredTable[[#This Row],[Alternate Adj Total Uninsured]]*(UninsuredTable[[#This Row],[400% FPL and over - No Health Insurance]]/UninsuredTable[[#This Row],[Total Uninsured Population]])</f>
        <v>38</v>
      </c>
    </row>
    <row r="185" spans="1:19" x14ac:dyDescent="0.3">
      <c r="A185">
        <v>21639</v>
      </c>
      <c r="B185" t="s">
        <v>1161</v>
      </c>
      <c r="C185" t="s">
        <v>1095</v>
      </c>
      <c r="D185">
        <v>4524</v>
      </c>
      <c r="E185">
        <f t="shared" si="2"/>
        <v>308</v>
      </c>
      <c r="F18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308</v>
      </c>
      <c r="G18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308</v>
      </c>
      <c r="H185" s="28">
        <v>1083</v>
      </c>
      <c r="I185">
        <f>SUM(VLOOKUP(UninsuredTable[[#This Row],[ZIP code]],ModifiedBaseTable!B:R,11,0),VLOOKUP(UninsuredTable[[#This Row],[ZIP code]],ModifiedBaseTable!B:R,17,0))</f>
        <v>89</v>
      </c>
      <c r="J185" s="73">
        <f>UninsuredTable[[#This Row],[Alternate Adj Total Uninsured]]*(UninsuredTable[[#This Row],[Below 138% of FPL - No Health Insurance]]/UninsuredTable[[#This Row],[Total Uninsured Population]])</f>
        <v>89</v>
      </c>
      <c r="K185">
        <v>551</v>
      </c>
      <c r="L185">
        <v>69</v>
      </c>
      <c r="M185" s="73">
        <f>UninsuredTable[[#This Row],[Alternate Adj Total Uninsured]]*(UninsuredTable[[#This Row],[138% to 199% - No Health Insurance]]/UninsuredTable[[#This Row],[Total Uninsured Population]])</f>
        <v>69</v>
      </c>
      <c r="N185">
        <v>1894</v>
      </c>
      <c r="O185">
        <v>136</v>
      </c>
      <c r="P185" s="73">
        <f>UninsuredTable[[#This Row],[Alternate Adj Total Uninsured]]*(UninsuredTable[[#This Row],[200 to 399% of FPL - No Health Insurance]]/UninsuredTable[[#This Row],[Total Uninsured Population]])</f>
        <v>136</v>
      </c>
      <c r="Q185">
        <v>996</v>
      </c>
      <c r="R185">
        <v>14</v>
      </c>
      <c r="S185" s="73">
        <f>UninsuredTable[[#This Row],[Alternate Adj Total Uninsured]]*(UninsuredTable[[#This Row],[400% FPL and over - No Health Insurance]]/UninsuredTable[[#This Row],[Total Uninsured Population]])</f>
        <v>14</v>
      </c>
    </row>
    <row r="186" spans="1:19" x14ac:dyDescent="0.3">
      <c r="A186">
        <v>21643</v>
      </c>
      <c r="B186" t="s">
        <v>1166</v>
      </c>
      <c r="C186" t="s">
        <v>1097</v>
      </c>
      <c r="D186">
        <v>5912</v>
      </c>
      <c r="E186">
        <f t="shared" si="2"/>
        <v>328</v>
      </c>
      <c r="F18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328</v>
      </c>
      <c r="G18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328</v>
      </c>
      <c r="H186" s="28">
        <v>1004</v>
      </c>
      <c r="I186">
        <f>SUM(VLOOKUP(UninsuredTable[[#This Row],[ZIP code]],ModifiedBaseTable!B:R,11,0),VLOOKUP(UninsuredTable[[#This Row],[ZIP code]],ModifiedBaseTable!B:R,17,0))</f>
        <v>48</v>
      </c>
      <c r="J186" s="73">
        <f>UninsuredTable[[#This Row],[Alternate Adj Total Uninsured]]*(UninsuredTable[[#This Row],[Below 138% of FPL - No Health Insurance]]/UninsuredTable[[#This Row],[Total Uninsured Population]])</f>
        <v>48</v>
      </c>
      <c r="K186">
        <v>605</v>
      </c>
      <c r="L186">
        <v>74</v>
      </c>
      <c r="M186" s="73">
        <f>UninsuredTable[[#This Row],[Alternate Adj Total Uninsured]]*(UninsuredTable[[#This Row],[138% to 199% - No Health Insurance]]/UninsuredTable[[#This Row],[Total Uninsured Population]])</f>
        <v>74</v>
      </c>
      <c r="N186">
        <v>2599</v>
      </c>
      <c r="O186">
        <v>199</v>
      </c>
      <c r="P186" s="73">
        <f>UninsuredTable[[#This Row],[Alternate Adj Total Uninsured]]*(UninsuredTable[[#This Row],[200 to 399% of FPL - No Health Insurance]]/UninsuredTable[[#This Row],[Total Uninsured Population]])</f>
        <v>199</v>
      </c>
      <c r="Q186">
        <v>1704</v>
      </c>
      <c r="R186">
        <v>7</v>
      </c>
      <c r="S186" s="73">
        <f>UninsuredTable[[#This Row],[Alternate Adj Total Uninsured]]*(UninsuredTable[[#This Row],[400% FPL and over - No Health Insurance]]/UninsuredTable[[#This Row],[Total Uninsured Population]])</f>
        <v>7.0000000000000009</v>
      </c>
    </row>
    <row r="187" spans="1:19" x14ac:dyDescent="0.3">
      <c r="A187">
        <v>21649</v>
      </c>
      <c r="B187" t="s">
        <v>1118</v>
      </c>
      <c r="C187" t="s">
        <v>1095</v>
      </c>
      <c r="D187">
        <v>1781</v>
      </c>
      <c r="E187">
        <f t="shared" si="2"/>
        <v>508</v>
      </c>
      <c r="F18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508</v>
      </c>
      <c r="G18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508</v>
      </c>
      <c r="H187" s="28">
        <v>789</v>
      </c>
      <c r="I187">
        <f>SUM(VLOOKUP(UninsuredTable[[#This Row],[ZIP code]],ModifiedBaseTable!B:R,11,0),VLOOKUP(UninsuredTable[[#This Row],[ZIP code]],ModifiedBaseTable!B:R,17,0))</f>
        <v>337</v>
      </c>
      <c r="J187" s="73">
        <f>UninsuredTable[[#This Row],[Alternate Adj Total Uninsured]]*(UninsuredTable[[#This Row],[Below 138% of FPL - No Health Insurance]]/UninsuredTable[[#This Row],[Total Uninsured Population]])</f>
        <v>337</v>
      </c>
      <c r="K187">
        <v>217</v>
      </c>
      <c r="L187">
        <v>46</v>
      </c>
      <c r="M187" s="73">
        <f>UninsuredTable[[#This Row],[Alternate Adj Total Uninsured]]*(UninsuredTable[[#This Row],[138% to 199% - No Health Insurance]]/UninsuredTable[[#This Row],[Total Uninsured Population]])</f>
        <v>46</v>
      </c>
      <c r="N187">
        <v>615</v>
      </c>
      <c r="O187">
        <v>122</v>
      </c>
      <c r="P187" s="73">
        <f>UninsuredTable[[#This Row],[Alternate Adj Total Uninsured]]*(UninsuredTable[[#This Row],[200 to 399% of FPL - No Health Insurance]]/UninsuredTable[[#This Row],[Total Uninsured Population]])</f>
        <v>122</v>
      </c>
      <c r="Q187">
        <v>160</v>
      </c>
      <c r="R187">
        <v>3</v>
      </c>
      <c r="S187" s="73">
        <f>UninsuredTable[[#This Row],[Alternate Adj Total Uninsured]]*(UninsuredTable[[#This Row],[400% FPL and over - No Health Insurance]]/UninsuredTable[[#This Row],[Total Uninsured Population]])</f>
        <v>3</v>
      </c>
    </row>
    <row r="188" spans="1:19" x14ac:dyDescent="0.3">
      <c r="A188">
        <v>21651</v>
      </c>
      <c r="B188" t="s">
        <v>1170</v>
      </c>
      <c r="C188" t="s">
        <v>1131</v>
      </c>
      <c r="D188">
        <v>2961</v>
      </c>
      <c r="E188">
        <f t="shared" si="2"/>
        <v>343</v>
      </c>
      <c r="F18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343</v>
      </c>
      <c r="G18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343</v>
      </c>
      <c r="H188" s="28">
        <v>377</v>
      </c>
      <c r="I188">
        <f>SUM(VLOOKUP(UninsuredTable[[#This Row],[ZIP code]],ModifiedBaseTable!B:R,11,0),VLOOKUP(UninsuredTable[[#This Row],[ZIP code]],ModifiedBaseTable!B:R,17,0))</f>
        <v>146</v>
      </c>
      <c r="J188" s="73">
        <f>UninsuredTable[[#This Row],[Alternate Adj Total Uninsured]]*(UninsuredTable[[#This Row],[Below 138% of FPL - No Health Insurance]]/UninsuredTable[[#This Row],[Total Uninsured Population]])</f>
        <v>146</v>
      </c>
      <c r="K188">
        <v>275</v>
      </c>
      <c r="L188">
        <v>36</v>
      </c>
      <c r="M188" s="73">
        <f>UninsuredTable[[#This Row],[Alternate Adj Total Uninsured]]*(UninsuredTable[[#This Row],[138% to 199% - No Health Insurance]]/UninsuredTable[[#This Row],[Total Uninsured Population]])</f>
        <v>36</v>
      </c>
      <c r="N188">
        <v>1199</v>
      </c>
      <c r="O188">
        <v>30</v>
      </c>
      <c r="P188" s="73">
        <f>UninsuredTable[[#This Row],[Alternate Adj Total Uninsured]]*(UninsuredTable[[#This Row],[200 to 399% of FPL - No Health Insurance]]/UninsuredTable[[#This Row],[Total Uninsured Population]])</f>
        <v>30</v>
      </c>
      <c r="Q188">
        <v>1110</v>
      </c>
      <c r="R188">
        <v>131</v>
      </c>
      <c r="S188" s="73">
        <f>UninsuredTable[[#This Row],[Alternate Adj Total Uninsured]]*(UninsuredTable[[#This Row],[400% FPL and over - No Health Insurance]]/UninsuredTable[[#This Row],[Total Uninsured Population]])</f>
        <v>131</v>
      </c>
    </row>
    <row r="189" spans="1:19" x14ac:dyDescent="0.3">
      <c r="A189">
        <v>21655</v>
      </c>
      <c r="B189" t="s">
        <v>1127</v>
      </c>
      <c r="C189" t="s">
        <v>1095</v>
      </c>
      <c r="D189">
        <v>5382</v>
      </c>
      <c r="E189">
        <f t="shared" si="2"/>
        <v>302</v>
      </c>
      <c r="F18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302</v>
      </c>
      <c r="G18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302</v>
      </c>
      <c r="H189" s="28">
        <v>600</v>
      </c>
      <c r="I189">
        <f>SUM(VLOOKUP(UninsuredTable[[#This Row],[ZIP code]],ModifiedBaseTable!B:R,11,0),VLOOKUP(UninsuredTable[[#This Row],[ZIP code]],ModifiedBaseTable!B:R,17,0))</f>
        <v>44</v>
      </c>
      <c r="J189" s="73">
        <f>UninsuredTable[[#This Row],[Alternate Adj Total Uninsured]]*(UninsuredTable[[#This Row],[Below 138% of FPL - No Health Insurance]]/UninsuredTable[[#This Row],[Total Uninsured Population]])</f>
        <v>44</v>
      </c>
      <c r="K189">
        <v>614</v>
      </c>
      <c r="L189">
        <v>17</v>
      </c>
      <c r="M189" s="73">
        <f>UninsuredTable[[#This Row],[Alternate Adj Total Uninsured]]*(UninsuredTable[[#This Row],[138% to 199% - No Health Insurance]]/UninsuredTable[[#This Row],[Total Uninsured Population]])</f>
        <v>17</v>
      </c>
      <c r="N189">
        <v>2074</v>
      </c>
      <c r="O189">
        <v>101</v>
      </c>
      <c r="P189" s="73">
        <f>UninsuredTable[[#This Row],[Alternate Adj Total Uninsured]]*(UninsuredTable[[#This Row],[200 to 399% of FPL - No Health Insurance]]/UninsuredTable[[#This Row],[Total Uninsured Population]])</f>
        <v>101</v>
      </c>
      <c r="Q189">
        <v>2094</v>
      </c>
      <c r="R189">
        <v>140</v>
      </c>
      <c r="S189" s="73">
        <f>UninsuredTable[[#This Row],[Alternate Adj Total Uninsured]]*(UninsuredTable[[#This Row],[400% FPL and over - No Health Insurance]]/UninsuredTable[[#This Row],[Total Uninsured Population]])</f>
        <v>140</v>
      </c>
    </row>
    <row r="190" spans="1:19" x14ac:dyDescent="0.3">
      <c r="A190">
        <v>21666</v>
      </c>
      <c r="B190" t="s">
        <v>1155</v>
      </c>
      <c r="C190" t="s">
        <v>1141</v>
      </c>
      <c r="D190">
        <v>11874</v>
      </c>
      <c r="E190">
        <f t="shared" si="2"/>
        <v>321</v>
      </c>
      <c r="F19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321</v>
      </c>
      <c r="G19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321</v>
      </c>
      <c r="H190" s="28">
        <v>620</v>
      </c>
      <c r="I190">
        <f>SUM(VLOOKUP(UninsuredTable[[#This Row],[ZIP code]],ModifiedBaseTable!B:R,11,0),VLOOKUP(UninsuredTable[[#This Row],[ZIP code]],ModifiedBaseTable!B:R,17,0))</f>
        <v>36</v>
      </c>
      <c r="J190" s="73">
        <f>UninsuredTable[[#This Row],[Alternate Adj Total Uninsured]]*(UninsuredTable[[#This Row],[Below 138% of FPL - No Health Insurance]]/UninsuredTable[[#This Row],[Total Uninsured Population]])</f>
        <v>36</v>
      </c>
      <c r="K190">
        <v>442</v>
      </c>
      <c r="L190">
        <v>26</v>
      </c>
      <c r="M190" s="73">
        <f>UninsuredTable[[#This Row],[Alternate Adj Total Uninsured]]*(UninsuredTable[[#This Row],[138% to 199% - No Health Insurance]]/UninsuredTable[[#This Row],[Total Uninsured Population]])</f>
        <v>26</v>
      </c>
      <c r="N190">
        <v>3085</v>
      </c>
      <c r="O190">
        <v>202</v>
      </c>
      <c r="P190" s="73">
        <f>UninsuredTable[[#This Row],[Alternate Adj Total Uninsured]]*(UninsuredTable[[#This Row],[200 to 399% of FPL - No Health Insurance]]/UninsuredTable[[#This Row],[Total Uninsured Population]])</f>
        <v>202</v>
      </c>
      <c r="Q190">
        <v>7727</v>
      </c>
      <c r="R190">
        <v>57</v>
      </c>
      <c r="S190" s="73">
        <f>UninsuredTable[[#This Row],[Alternate Adj Total Uninsured]]*(UninsuredTable[[#This Row],[400% FPL and over - No Health Insurance]]/UninsuredTable[[#This Row],[Total Uninsured Population]])</f>
        <v>57</v>
      </c>
    </row>
    <row r="191" spans="1:19" x14ac:dyDescent="0.3">
      <c r="A191">
        <v>21660</v>
      </c>
      <c r="B191" t="s">
        <v>1173</v>
      </c>
      <c r="C191" t="s">
        <v>1095</v>
      </c>
      <c r="D191">
        <v>3835</v>
      </c>
      <c r="E191">
        <f t="shared" si="2"/>
        <v>282</v>
      </c>
      <c r="F19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282</v>
      </c>
      <c r="G19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282</v>
      </c>
      <c r="H191" s="28">
        <v>1085</v>
      </c>
      <c r="I191">
        <f>SUM(VLOOKUP(UninsuredTable[[#This Row],[ZIP code]],ModifiedBaseTable!B:R,11,0),VLOOKUP(UninsuredTable[[#This Row],[ZIP code]],ModifiedBaseTable!B:R,17,0))</f>
        <v>92</v>
      </c>
      <c r="J191" s="73">
        <f>UninsuredTable[[#This Row],[Alternate Adj Total Uninsured]]*(UninsuredTable[[#This Row],[Below 138% of FPL - No Health Insurance]]/UninsuredTable[[#This Row],[Total Uninsured Population]])</f>
        <v>92.000000000000014</v>
      </c>
      <c r="K191">
        <v>560</v>
      </c>
      <c r="L191">
        <v>35</v>
      </c>
      <c r="M191" s="73">
        <f>UninsuredTable[[#This Row],[Alternate Adj Total Uninsured]]*(UninsuredTable[[#This Row],[138% to 199% - No Health Insurance]]/UninsuredTable[[#This Row],[Total Uninsured Population]])</f>
        <v>35</v>
      </c>
      <c r="N191">
        <v>947</v>
      </c>
      <c r="O191">
        <v>113</v>
      </c>
      <c r="P191" s="73">
        <f>UninsuredTable[[#This Row],[Alternate Adj Total Uninsured]]*(UninsuredTable[[#This Row],[200 to 399% of FPL - No Health Insurance]]/UninsuredTable[[#This Row],[Total Uninsured Population]])</f>
        <v>113</v>
      </c>
      <c r="Q191">
        <v>1243</v>
      </c>
      <c r="R191">
        <v>42</v>
      </c>
      <c r="S191" s="73">
        <f>UninsuredTable[[#This Row],[Alternate Adj Total Uninsured]]*(UninsuredTable[[#This Row],[400% FPL and over - No Health Insurance]]/UninsuredTable[[#This Row],[Total Uninsured Population]])</f>
        <v>42</v>
      </c>
    </row>
    <row r="192" spans="1:19" x14ac:dyDescent="0.3">
      <c r="A192">
        <v>21658</v>
      </c>
      <c r="B192" t="s">
        <v>1200</v>
      </c>
      <c r="C192" t="s">
        <v>1141</v>
      </c>
      <c r="D192">
        <v>3783</v>
      </c>
      <c r="E192">
        <f t="shared" si="2"/>
        <v>248</v>
      </c>
      <c r="F19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248</v>
      </c>
      <c r="G19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248</v>
      </c>
      <c r="H192" s="28">
        <v>285</v>
      </c>
      <c r="I192">
        <f>SUM(VLOOKUP(UninsuredTable[[#This Row],[ZIP code]],ModifiedBaseTable!B:R,11,0),VLOOKUP(UninsuredTable[[#This Row],[ZIP code]],ModifiedBaseTable!B:R,17,0))</f>
        <v>52</v>
      </c>
      <c r="J192" s="73">
        <f>UninsuredTable[[#This Row],[Alternate Adj Total Uninsured]]*(UninsuredTable[[#This Row],[Below 138% of FPL - No Health Insurance]]/UninsuredTable[[#This Row],[Total Uninsured Population]])</f>
        <v>52</v>
      </c>
      <c r="K192">
        <v>254</v>
      </c>
      <c r="L192">
        <v>13</v>
      </c>
      <c r="M192" s="73">
        <f>UninsuredTable[[#This Row],[Alternate Adj Total Uninsured]]*(UninsuredTable[[#This Row],[138% to 199% - No Health Insurance]]/UninsuredTable[[#This Row],[Total Uninsured Population]])</f>
        <v>13</v>
      </c>
      <c r="N192">
        <v>857</v>
      </c>
      <c r="O192">
        <v>92</v>
      </c>
      <c r="P192" s="73">
        <f>UninsuredTable[[#This Row],[Alternate Adj Total Uninsured]]*(UninsuredTable[[#This Row],[200 to 399% of FPL - No Health Insurance]]/UninsuredTable[[#This Row],[Total Uninsured Population]])</f>
        <v>92</v>
      </c>
      <c r="Q192">
        <v>2387</v>
      </c>
      <c r="R192">
        <v>91</v>
      </c>
      <c r="S192" s="73">
        <f>UninsuredTable[[#This Row],[Alternate Adj Total Uninsured]]*(UninsuredTable[[#This Row],[400% FPL and over - No Health Insurance]]/UninsuredTable[[#This Row],[Total Uninsured Population]])</f>
        <v>91</v>
      </c>
    </row>
    <row r="193" spans="1:19" x14ac:dyDescent="0.3">
      <c r="A193">
        <v>21701</v>
      </c>
      <c r="B193" t="s">
        <v>1027</v>
      </c>
      <c r="C193" t="s">
        <v>1027</v>
      </c>
      <c r="D193">
        <v>35602</v>
      </c>
      <c r="E193">
        <f t="shared" si="2"/>
        <v>1966</v>
      </c>
      <c r="F19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1188.8</v>
      </c>
      <c r="G19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1303.409510058839</v>
      </c>
      <c r="H193" s="28">
        <v>4135</v>
      </c>
      <c r="I193">
        <f>SUM(VLOOKUP(UninsuredTable[[#This Row],[ZIP code]],ModifiedBaseTable!B:R,11,0),VLOOKUP(UninsuredTable[[#This Row],[ZIP code]],ModifiedBaseTable!B:R,17,0))</f>
        <v>471</v>
      </c>
      <c r="J193" s="73">
        <f>UninsuredTable[[#This Row],[Alternate Adj Total Uninsured]]*(UninsuredTable[[#This Row],[Below 138% of FPL - No Health Insurance]]/UninsuredTable[[#This Row],[Total Uninsured Population]])</f>
        <v>312.26138313210237</v>
      </c>
      <c r="K193">
        <v>2554</v>
      </c>
      <c r="L193">
        <v>250</v>
      </c>
      <c r="M193" s="73">
        <f>UninsuredTable[[#This Row],[Alternate Adj Total Uninsured]]*(UninsuredTable[[#This Row],[138% to 199% - No Health Insurance]]/UninsuredTable[[#This Row],[Total Uninsured Population]])</f>
        <v>165.74383393423693</v>
      </c>
      <c r="N193">
        <v>10122</v>
      </c>
      <c r="O193">
        <v>797</v>
      </c>
      <c r="P193" s="73">
        <f>UninsuredTable[[#This Row],[Alternate Adj Total Uninsured]]*(UninsuredTable[[#This Row],[200 to 399% of FPL - No Health Insurance]]/UninsuredTable[[#This Row],[Total Uninsured Population]])</f>
        <v>528.39134258234731</v>
      </c>
      <c r="Q193">
        <v>18791</v>
      </c>
      <c r="R193">
        <v>448</v>
      </c>
      <c r="S193" s="73">
        <f>UninsuredTable[[#This Row],[Alternate Adj Total Uninsured]]*(UninsuredTable[[#This Row],[400% FPL and over - No Health Insurance]]/UninsuredTable[[#This Row],[Total Uninsured Population]])</f>
        <v>297.01295041015254</v>
      </c>
    </row>
    <row r="194" spans="1:19" x14ac:dyDescent="0.3">
      <c r="A194">
        <v>21702</v>
      </c>
      <c r="B194" t="s">
        <v>1027</v>
      </c>
      <c r="C194" t="s">
        <v>1027</v>
      </c>
      <c r="D194">
        <v>40472</v>
      </c>
      <c r="E194">
        <f t="shared" si="2"/>
        <v>2921</v>
      </c>
      <c r="F19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1433.6000000000001</v>
      </c>
      <c r="G19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1703.1711184508943</v>
      </c>
      <c r="H194" s="28">
        <v>5438</v>
      </c>
      <c r="I194">
        <f>SUM(VLOOKUP(UninsuredTable[[#This Row],[ZIP code]],ModifiedBaseTable!B:R,11,0),VLOOKUP(UninsuredTable[[#This Row],[ZIP code]],ModifiedBaseTable!B:R,17,0))</f>
        <v>415</v>
      </c>
      <c r="J194" s="73">
        <f>UninsuredTable[[#This Row],[Alternate Adj Total Uninsured]]*(UninsuredTable[[#This Row],[Below 138% of FPL - No Health Insurance]]/UninsuredTable[[#This Row],[Total Uninsured Population]])</f>
        <v>241.97740984495761</v>
      </c>
      <c r="K194">
        <v>3044</v>
      </c>
      <c r="L194">
        <v>397</v>
      </c>
      <c r="M194" s="73">
        <f>UninsuredTable[[#This Row],[Alternate Adj Total Uninsured]]*(UninsuredTable[[#This Row],[138% to 199% - No Health Insurance]]/UninsuredTable[[#This Row],[Total Uninsured Population]])</f>
        <v>231.48200411674256</v>
      </c>
      <c r="N194">
        <v>12130</v>
      </c>
      <c r="O194">
        <v>1611</v>
      </c>
      <c r="P194" s="73">
        <f>UninsuredTable[[#This Row],[Alternate Adj Total Uninsured]]*(UninsuredTable[[#This Row],[200 to 399% of FPL - No Health Insurance]]/UninsuredTable[[#This Row],[Total Uninsured Population]])</f>
        <v>939.33881267524498</v>
      </c>
      <c r="Q194">
        <v>19860</v>
      </c>
      <c r="R194">
        <v>498</v>
      </c>
      <c r="S194" s="73">
        <f>UninsuredTable[[#This Row],[Alternate Adj Total Uninsured]]*(UninsuredTable[[#This Row],[400% FPL and over - No Health Insurance]]/UninsuredTable[[#This Row],[Total Uninsured Population]])</f>
        <v>290.37289181394914</v>
      </c>
    </row>
    <row r="195" spans="1:19" x14ac:dyDescent="0.3">
      <c r="A195">
        <v>21703</v>
      </c>
      <c r="B195" t="s">
        <v>1027</v>
      </c>
      <c r="C195" t="s">
        <v>1027</v>
      </c>
      <c r="D195">
        <v>35359</v>
      </c>
      <c r="E195">
        <f t="shared" ref="E195:E227" si="3">I195+L195+O195+R195</f>
        <v>2775</v>
      </c>
      <c r="F19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1409.6000000000001</v>
      </c>
      <c r="G19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1651.4738201866749</v>
      </c>
      <c r="H195" s="28">
        <v>5581</v>
      </c>
      <c r="I195">
        <f>SUM(VLOOKUP(UninsuredTable[[#This Row],[ZIP code]],ModifiedBaseTable!B:R,11,0),VLOOKUP(UninsuredTable[[#This Row],[ZIP code]],ModifiedBaseTable!B:R,17,0))</f>
        <v>562</v>
      </c>
      <c r="J195" s="73">
        <f>UninsuredTable[[#This Row],[Alternate Adj Total Uninsured]]*(UninsuredTable[[#This Row],[Below 138% of FPL - No Health Insurance]]/UninsuredTable[[#This Row],[Total Uninsured Population]])</f>
        <v>334.46064394411218</v>
      </c>
      <c r="K195">
        <v>3260</v>
      </c>
      <c r="L195">
        <v>496</v>
      </c>
      <c r="M195" s="73">
        <f>UninsuredTable[[#This Row],[Alternate Adj Total Uninsured]]*(UninsuredTable[[#This Row],[138% to 199% - No Health Insurance]]/UninsuredTable[[#This Row],[Total Uninsured Population]])</f>
        <v>295.1823476802129</v>
      </c>
      <c r="N195">
        <v>10481</v>
      </c>
      <c r="O195">
        <v>1266</v>
      </c>
      <c r="P195" s="73">
        <f>UninsuredTable[[#This Row],[Alternate Adj Total Uninsured]]*(UninsuredTable[[#This Row],[200 to 399% of FPL - No Health Insurance]]/UninsuredTable[[#This Row],[Total Uninsured Population]])</f>
        <v>753.42913742570465</v>
      </c>
      <c r="Q195">
        <v>16037</v>
      </c>
      <c r="R195">
        <v>451</v>
      </c>
      <c r="S195" s="73">
        <f>UninsuredTable[[#This Row],[Alternate Adj Total Uninsured]]*(UninsuredTable[[#This Row],[400% FPL and over - No Health Insurance]]/UninsuredTable[[#This Row],[Total Uninsured Population]])</f>
        <v>268.40169113664518</v>
      </c>
    </row>
    <row r="196" spans="1:19" x14ac:dyDescent="0.3">
      <c r="A196">
        <v>21704</v>
      </c>
      <c r="B196" t="s">
        <v>1027</v>
      </c>
      <c r="C196" t="s">
        <v>1027</v>
      </c>
      <c r="D196">
        <v>15638</v>
      </c>
      <c r="E196">
        <f t="shared" si="3"/>
        <v>618</v>
      </c>
      <c r="F19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618</v>
      </c>
      <c r="G19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618</v>
      </c>
      <c r="H196" s="28">
        <v>993</v>
      </c>
      <c r="I196">
        <f>SUM(VLOOKUP(UninsuredTable[[#This Row],[ZIP code]],ModifiedBaseTable!B:R,11,0),VLOOKUP(UninsuredTable[[#This Row],[ZIP code]],ModifiedBaseTable!B:R,17,0))</f>
        <v>110</v>
      </c>
      <c r="J196" s="73">
        <f>UninsuredTable[[#This Row],[Alternate Adj Total Uninsured]]*(UninsuredTable[[#This Row],[Below 138% of FPL - No Health Insurance]]/UninsuredTable[[#This Row],[Total Uninsured Population]])</f>
        <v>110</v>
      </c>
      <c r="K196">
        <v>396</v>
      </c>
      <c r="L196">
        <v>16</v>
      </c>
      <c r="M196" s="73">
        <f>UninsuredTable[[#This Row],[Alternate Adj Total Uninsured]]*(UninsuredTable[[#This Row],[138% to 199% - No Health Insurance]]/UninsuredTable[[#This Row],[Total Uninsured Population]])</f>
        <v>16</v>
      </c>
      <c r="N196">
        <v>2979</v>
      </c>
      <c r="O196">
        <v>224</v>
      </c>
      <c r="P196" s="73">
        <f>UninsuredTable[[#This Row],[Alternate Adj Total Uninsured]]*(UninsuredTable[[#This Row],[200 to 399% of FPL - No Health Insurance]]/UninsuredTable[[#This Row],[Total Uninsured Population]])</f>
        <v>224.00000000000003</v>
      </c>
      <c r="Q196">
        <v>11270</v>
      </c>
      <c r="R196">
        <v>268</v>
      </c>
      <c r="S196" s="73">
        <f>UninsuredTable[[#This Row],[Alternate Adj Total Uninsured]]*(UninsuredTable[[#This Row],[400% FPL and over - No Health Insurance]]/UninsuredTable[[#This Row],[Total Uninsured Population]])</f>
        <v>268</v>
      </c>
    </row>
    <row r="197" spans="1:19" x14ac:dyDescent="0.3">
      <c r="A197">
        <v>21740</v>
      </c>
      <c r="B197" t="s">
        <v>998</v>
      </c>
      <c r="C197" t="s">
        <v>999</v>
      </c>
      <c r="D197">
        <v>56985</v>
      </c>
      <c r="E197">
        <f t="shared" si="3"/>
        <v>4622</v>
      </c>
      <c r="F19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3294.4</v>
      </c>
      <c r="G19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3414.7399855617814</v>
      </c>
      <c r="H197" s="28">
        <v>15045</v>
      </c>
      <c r="I197">
        <f>SUM(VLOOKUP(UninsuredTable[[#This Row],[ZIP code]],ModifiedBaseTable!B:R,11,0),VLOOKUP(UninsuredTable[[#This Row],[ZIP code]],ModifiedBaseTable!B:R,17,0))</f>
        <v>1571</v>
      </c>
      <c r="J197" s="73">
        <f>UninsuredTable[[#This Row],[Alternate Adj Total Uninsured]]*(UninsuredTable[[#This Row],[Below 138% of FPL - No Health Insurance]]/UninsuredTable[[#This Row],[Total Uninsured Population]])</f>
        <v>1160.6569704278577</v>
      </c>
      <c r="K197">
        <v>6970</v>
      </c>
      <c r="L197">
        <v>875</v>
      </c>
      <c r="M197" s="73">
        <f>UninsuredTable[[#This Row],[Alternate Adj Total Uninsured]]*(UninsuredTable[[#This Row],[138% to 199% - No Health Insurance]]/UninsuredTable[[#This Row],[Total Uninsured Population]])</f>
        <v>646.4512088633835</v>
      </c>
      <c r="N197">
        <v>17878</v>
      </c>
      <c r="O197">
        <v>1453</v>
      </c>
      <c r="P197" s="73">
        <f>UninsuredTable[[#This Row],[Alternate Adj Total Uninsured]]*(UninsuredTable[[#This Row],[200 to 399% of FPL - No Health Insurance]]/UninsuredTable[[#This Row],[Total Uninsured Population]])</f>
        <v>1073.4784074039956</v>
      </c>
      <c r="Q197">
        <v>17092</v>
      </c>
      <c r="R197">
        <v>723</v>
      </c>
      <c r="S197" s="73">
        <f>UninsuredTable[[#This Row],[Alternate Adj Total Uninsured]]*(UninsuredTable[[#This Row],[400% FPL and over - No Health Insurance]]/UninsuredTable[[#This Row],[Total Uninsured Population]])</f>
        <v>534.15339886654431</v>
      </c>
    </row>
    <row r="198" spans="1:19" x14ac:dyDescent="0.3">
      <c r="A198">
        <v>21742</v>
      </c>
      <c r="B198" t="s">
        <v>998</v>
      </c>
      <c r="C198" t="s">
        <v>999</v>
      </c>
      <c r="D198">
        <v>32735</v>
      </c>
      <c r="E198">
        <f t="shared" si="3"/>
        <v>2167</v>
      </c>
      <c r="F19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1524</v>
      </c>
      <c r="G19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1586.5576909071162</v>
      </c>
      <c r="H198" s="28">
        <v>4449</v>
      </c>
      <c r="I198">
        <f>SUM(VLOOKUP(UninsuredTable[[#This Row],[ZIP code]],ModifiedBaseTable!B:R,11,0),VLOOKUP(UninsuredTable[[#This Row],[ZIP code]],ModifiedBaseTable!B:R,17,0))</f>
        <v>506</v>
      </c>
      <c r="J198" s="73">
        <f>UninsuredTable[[#This Row],[Alternate Adj Total Uninsured]]*(UninsuredTable[[#This Row],[Below 138% of FPL - No Health Insurance]]/UninsuredTable[[#This Row],[Total Uninsured Population]])</f>
        <v>370.46524762298145</v>
      </c>
      <c r="K198">
        <v>3399</v>
      </c>
      <c r="L198">
        <v>487</v>
      </c>
      <c r="M198" s="73">
        <f>UninsuredTable[[#This Row],[Alternate Adj Total Uninsured]]*(UninsuredTable[[#This Row],[138% to 199% - No Health Insurance]]/UninsuredTable[[#This Row],[Total Uninsured Population]])</f>
        <v>356.55449721816598</v>
      </c>
      <c r="N198">
        <v>9964</v>
      </c>
      <c r="O198">
        <v>709</v>
      </c>
      <c r="P198" s="73">
        <f>UninsuredTable[[#This Row],[Alternate Adj Total Uninsured]]*(UninsuredTable[[#This Row],[200 to 399% of FPL - No Health Insurance]]/UninsuredTable[[#This Row],[Total Uninsured Population]])</f>
        <v>519.09063352706301</v>
      </c>
      <c r="Q198">
        <v>14923</v>
      </c>
      <c r="R198">
        <v>465</v>
      </c>
      <c r="S198" s="73">
        <f>UninsuredTable[[#This Row],[Alternate Adj Total Uninsured]]*(UninsuredTable[[#This Row],[400% FPL and over - No Health Insurance]]/UninsuredTable[[#This Row],[Total Uninsured Population]])</f>
        <v>340.44731253890592</v>
      </c>
    </row>
    <row r="199" spans="1:19" x14ac:dyDescent="0.3">
      <c r="A199">
        <v>21722</v>
      </c>
      <c r="B199" t="s">
        <v>1092</v>
      </c>
      <c r="C199" t="s">
        <v>999</v>
      </c>
      <c r="D199">
        <v>5663</v>
      </c>
      <c r="E199">
        <f t="shared" si="3"/>
        <v>742</v>
      </c>
      <c r="F19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742</v>
      </c>
      <c r="G19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742</v>
      </c>
      <c r="H199" s="28">
        <v>655</v>
      </c>
      <c r="I199">
        <f>SUM(VLOOKUP(UninsuredTable[[#This Row],[ZIP code]],ModifiedBaseTable!B:R,11,0),VLOOKUP(UninsuredTable[[#This Row],[ZIP code]],ModifiedBaseTable!B:R,17,0))</f>
        <v>278</v>
      </c>
      <c r="J199" s="73">
        <f>UninsuredTable[[#This Row],[Alternate Adj Total Uninsured]]*(UninsuredTable[[#This Row],[Below 138% of FPL - No Health Insurance]]/UninsuredTable[[#This Row],[Total Uninsured Population]])</f>
        <v>278</v>
      </c>
      <c r="K199">
        <v>409</v>
      </c>
      <c r="L199">
        <v>67</v>
      </c>
      <c r="M199" s="73">
        <f>UninsuredTable[[#This Row],[Alternate Adj Total Uninsured]]*(UninsuredTable[[#This Row],[138% to 199% - No Health Insurance]]/UninsuredTable[[#This Row],[Total Uninsured Population]])</f>
        <v>67</v>
      </c>
      <c r="N199">
        <v>2492</v>
      </c>
      <c r="O199">
        <v>348</v>
      </c>
      <c r="P199" s="73">
        <f>UninsuredTable[[#This Row],[Alternate Adj Total Uninsured]]*(UninsuredTable[[#This Row],[200 to 399% of FPL - No Health Insurance]]/UninsuredTable[[#This Row],[Total Uninsured Population]])</f>
        <v>348</v>
      </c>
      <c r="Q199">
        <v>2107</v>
      </c>
      <c r="R199">
        <v>49</v>
      </c>
      <c r="S199" s="73">
        <f>UninsuredTable[[#This Row],[Alternate Adj Total Uninsured]]*(UninsuredTable[[#This Row],[400% FPL and over - No Health Insurance]]/UninsuredTable[[#This Row],[Total Uninsured Population]])</f>
        <v>49</v>
      </c>
    </row>
    <row r="200" spans="1:19" x14ac:dyDescent="0.3">
      <c r="A200">
        <v>21783</v>
      </c>
      <c r="B200" t="s">
        <v>1125</v>
      </c>
      <c r="C200" t="s">
        <v>999</v>
      </c>
      <c r="D200">
        <v>8724</v>
      </c>
      <c r="E200">
        <f t="shared" si="3"/>
        <v>569</v>
      </c>
      <c r="F20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569</v>
      </c>
      <c r="G20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569</v>
      </c>
      <c r="H200" s="28">
        <v>787</v>
      </c>
      <c r="I200">
        <f>SUM(VLOOKUP(UninsuredTable[[#This Row],[ZIP code]],ModifiedBaseTable!B:R,11,0),VLOOKUP(UninsuredTable[[#This Row],[ZIP code]],ModifiedBaseTable!B:R,17,0))</f>
        <v>63</v>
      </c>
      <c r="J200" s="73">
        <f>UninsuredTable[[#This Row],[Alternate Adj Total Uninsured]]*(UninsuredTable[[#This Row],[Below 138% of FPL - No Health Insurance]]/UninsuredTable[[#This Row],[Total Uninsured Population]])</f>
        <v>63</v>
      </c>
      <c r="K200">
        <v>644</v>
      </c>
      <c r="L200">
        <v>115</v>
      </c>
      <c r="M200" s="73">
        <f>UninsuredTable[[#This Row],[Alternate Adj Total Uninsured]]*(UninsuredTable[[#This Row],[138% to 199% - No Health Insurance]]/UninsuredTable[[#This Row],[Total Uninsured Population]])</f>
        <v>115.00000000000001</v>
      </c>
      <c r="N200">
        <v>2955</v>
      </c>
      <c r="O200">
        <v>145</v>
      </c>
      <c r="P200" s="73">
        <f>UninsuredTable[[#This Row],[Alternate Adj Total Uninsured]]*(UninsuredTable[[#This Row],[200 to 399% of FPL - No Health Insurance]]/UninsuredTable[[#This Row],[Total Uninsured Population]])</f>
        <v>145</v>
      </c>
      <c r="Q200">
        <v>4338</v>
      </c>
      <c r="R200">
        <v>246</v>
      </c>
      <c r="S200" s="73">
        <f>UninsuredTable[[#This Row],[Alternate Adj Total Uninsured]]*(UninsuredTable[[#This Row],[400% FPL and over - No Health Insurance]]/UninsuredTable[[#This Row],[Total Uninsured Population]])</f>
        <v>246</v>
      </c>
    </row>
    <row r="201" spans="1:19" x14ac:dyDescent="0.3">
      <c r="A201">
        <v>21757</v>
      </c>
      <c r="B201" t="s">
        <v>1153</v>
      </c>
      <c r="C201" t="s">
        <v>1041</v>
      </c>
      <c r="D201">
        <v>3331</v>
      </c>
      <c r="E201">
        <f t="shared" si="3"/>
        <v>307</v>
      </c>
      <c r="F20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307</v>
      </c>
      <c r="G20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307</v>
      </c>
      <c r="H201" s="28">
        <v>329</v>
      </c>
      <c r="I201">
        <f>SUM(VLOOKUP(UninsuredTable[[#This Row],[ZIP code]],ModifiedBaseTable!B:R,11,0),VLOOKUP(UninsuredTable[[#This Row],[ZIP code]],ModifiedBaseTable!B:R,17,0))</f>
        <v>33</v>
      </c>
      <c r="J201" s="73">
        <f>UninsuredTable[[#This Row],[Alternate Adj Total Uninsured]]*(UninsuredTable[[#This Row],[Below 138% of FPL - No Health Insurance]]/UninsuredTable[[#This Row],[Total Uninsured Population]])</f>
        <v>33</v>
      </c>
      <c r="K201">
        <v>170</v>
      </c>
      <c r="L201">
        <v>5</v>
      </c>
      <c r="M201" s="73">
        <f>UninsuredTable[[#This Row],[Alternate Adj Total Uninsured]]*(UninsuredTable[[#This Row],[138% to 199% - No Health Insurance]]/UninsuredTable[[#This Row],[Total Uninsured Population]])</f>
        <v>5</v>
      </c>
      <c r="N201">
        <v>931</v>
      </c>
      <c r="O201">
        <v>229</v>
      </c>
      <c r="P201" s="73">
        <f>UninsuredTable[[#This Row],[Alternate Adj Total Uninsured]]*(UninsuredTable[[#This Row],[200 to 399% of FPL - No Health Insurance]]/UninsuredTable[[#This Row],[Total Uninsured Population]])</f>
        <v>229</v>
      </c>
      <c r="Q201">
        <v>1901</v>
      </c>
      <c r="R201">
        <v>40</v>
      </c>
      <c r="S201" s="73">
        <f>UninsuredTable[[#This Row],[Alternate Adj Total Uninsured]]*(UninsuredTable[[#This Row],[400% FPL and over - No Health Insurance]]/UninsuredTable[[#This Row],[Total Uninsured Population]])</f>
        <v>40</v>
      </c>
    </row>
    <row r="202" spans="1:19" x14ac:dyDescent="0.3">
      <c r="A202">
        <v>21769</v>
      </c>
      <c r="B202" t="s">
        <v>1146</v>
      </c>
      <c r="C202" t="s">
        <v>1027</v>
      </c>
      <c r="D202">
        <v>11286</v>
      </c>
      <c r="E202">
        <f t="shared" si="3"/>
        <v>289</v>
      </c>
      <c r="F20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289</v>
      </c>
      <c r="G20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289</v>
      </c>
      <c r="H202" s="28">
        <v>471</v>
      </c>
      <c r="I202">
        <f>SUM(VLOOKUP(UninsuredTable[[#This Row],[ZIP code]],ModifiedBaseTable!B:R,11,0),VLOOKUP(UninsuredTable[[#This Row],[ZIP code]],ModifiedBaseTable!B:R,17,0))</f>
        <v>53</v>
      </c>
      <c r="J202" s="73">
        <f>UninsuredTable[[#This Row],[Alternate Adj Total Uninsured]]*(UninsuredTable[[#This Row],[Below 138% of FPL - No Health Insurance]]/UninsuredTable[[#This Row],[Total Uninsured Population]])</f>
        <v>53</v>
      </c>
      <c r="K202">
        <v>585</v>
      </c>
      <c r="L202">
        <v>33</v>
      </c>
      <c r="M202" s="73">
        <f>UninsuredTable[[#This Row],[Alternate Adj Total Uninsured]]*(UninsuredTable[[#This Row],[138% to 199% - No Health Insurance]]/UninsuredTable[[#This Row],[Total Uninsured Population]])</f>
        <v>33</v>
      </c>
      <c r="N202">
        <v>2196</v>
      </c>
      <c r="O202">
        <v>121</v>
      </c>
      <c r="P202" s="73">
        <f>UninsuredTable[[#This Row],[Alternate Adj Total Uninsured]]*(UninsuredTable[[#This Row],[200 to 399% of FPL - No Health Insurance]]/UninsuredTable[[#This Row],[Total Uninsured Population]])</f>
        <v>121</v>
      </c>
      <c r="Q202">
        <v>8034</v>
      </c>
      <c r="R202">
        <v>82</v>
      </c>
      <c r="S202" s="73">
        <f>UninsuredTable[[#This Row],[Alternate Adj Total Uninsured]]*(UninsuredTable[[#This Row],[400% FPL and over - No Health Insurance]]/UninsuredTable[[#This Row],[Total Uninsured Population]])</f>
        <v>82</v>
      </c>
    </row>
    <row r="203" spans="1:19" x14ac:dyDescent="0.3">
      <c r="A203">
        <v>21771</v>
      </c>
      <c r="B203" t="s">
        <v>1074</v>
      </c>
      <c r="C203" t="s">
        <v>1027</v>
      </c>
      <c r="D203">
        <v>29162</v>
      </c>
      <c r="E203">
        <f t="shared" si="3"/>
        <v>1034</v>
      </c>
      <c r="F20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679.2</v>
      </c>
      <c r="G20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723.37241533517761</v>
      </c>
      <c r="H203" s="28">
        <v>1522</v>
      </c>
      <c r="I203">
        <f>SUM(VLOOKUP(UninsuredTable[[#This Row],[ZIP code]],ModifiedBaseTable!B:R,11,0),VLOOKUP(UninsuredTable[[#This Row],[ZIP code]],ModifiedBaseTable!B:R,17,0))</f>
        <v>188</v>
      </c>
      <c r="J203" s="73">
        <f>UninsuredTable[[#This Row],[Alternate Adj Total Uninsured]]*(UninsuredTable[[#This Row],[Below 138% of FPL - No Health Insurance]]/UninsuredTable[[#This Row],[Total Uninsured Population]])</f>
        <v>131.52225733366865</v>
      </c>
      <c r="K203">
        <v>1039</v>
      </c>
      <c r="L203">
        <v>120</v>
      </c>
      <c r="M203" s="73">
        <f>UninsuredTable[[#This Row],[Alternate Adj Total Uninsured]]*(UninsuredTable[[#This Row],[138% to 199% - No Health Insurance]]/UninsuredTable[[#This Row],[Total Uninsured Population]])</f>
        <v>83.950377021490624</v>
      </c>
      <c r="N203">
        <v>5312</v>
      </c>
      <c r="O203">
        <v>304</v>
      </c>
      <c r="P203" s="73">
        <f>UninsuredTable[[#This Row],[Alternate Adj Total Uninsured]]*(UninsuredTable[[#This Row],[200 to 399% of FPL - No Health Insurance]]/UninsuredTable[[#This Row],[Total Uninsured Population]])</f>
        <v>212.67428845444294</v>
      </c>
      <c r="Q203">
        <v>21289</v>
      </c>
      <c r="R203">
        <v>422</v>
      </c>
      <c r="S203" s="73">
        <f>UninsuredTable[[#This Row],[Alternate Adj Total Uninsured]]*(UninsuredTable[[#This Row],[400% FPL and over - No Health Insurance]]/UninsuredTable[[#This Row],[Total Uninsured Population]])</f>
        <v>295.22549252557536</v>
      </c>
    </row>
    <row r="204" spans="1:19" x14ac:dyDescent="0.3">
      <c r="A204">
        <v>21774</v>
      </c>
      <c r="B204" t="s">
        <v>1142</v>
      </c>
      <c r="C204" t="s">
        <v>1027</v>
      </c>
      <c r="D204">
        <v>12991</v>
      </c>
      <c r="E204">
        <f t="shared" si="3"/>
        <v>285</v>
      </c>
      <c r="F20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285</v>
      </c>
      <c r="G20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285</v>
      </c>
      <c r="H204" s="28">
        <v>642</v>
      </c>
      <c r="I204">
        <f>SUM(VLOOKUP(UninsuredTable[[#This Row],[ZIP code]],ModifiedBaseTable!B:R,11,0),VLOOKUP(UninsuredTable[[#This Row],[ZIP code]],ModifiedBaseTable!B:R,17,0))</f>
        <v>66</v>
      </c>
      <c r="J204" s="73">
        <f>UninsuredTable[[#This Row],[Alternate Adj Total Uninsured]]*(UninsuredTable[[#This Row],[Below 138% of FPL - No Health Insurance]]/UninsuredTable[[#This Row],[Total Uninsured Population]])</f>
        <v>66</v>
      </c>
      <c r="K204">
        <v>573</v>
      </c>
      <c r="L204">
        <v>39</v>
      </c>
      <c r="M204" s="73">
        <f>UninsuredTable[[#This Row],[Alternate Adj Total Uninsured]]*(UninsuredTable[[#This Row],[138% to 199% - No Health Insurance]]/UninsuredTable[[#This Row],[Total Uninsured Population]])</f>
        <v>39</v>
      </c>
      <c r="N204">
        <v>2193</v>
      </c>
      <c r="O204">
        <v>131</v>
      </c>
      <c r="P204" s="73">
        <f>UninsuredTable[[#This Row],[Alternate Adj Total Uninsured]]*(UninsuredTable[[#This Row],[200 to 399% of FPL - No Health Insurance]]/UninsuredTable[[#This Row],[Total Uninsured Population]])</f>
        <v>131</v>
      </c>
      <c r="Q204">
        <v>9583</v>
      </c>
      <c r="R204">
        <v>49</v>
      </c>
      <c r="S204" s="73">
        <f>UninsuredTable[[#This Row],[Alternate Adj Total Uninsured]]*(UninsuredTable[[#This Row],[400% FPL and over - No Health Insurance]]/UninsuredTable[[#This Row],[Total Uninsured Population]])</f>
        <v>49</v>
      </c>
    </row>
    <row r="205" spans="1:19" x14ac:dyDescent="0.3">
      <c r="A205">
        <v>21713</v>
      </c>
      <c r="B205" t="s">
        <v>1124</v>
      </c>
      <c r="C205" t="s">
        <v>999</v>
      </c>
      <c r="D205">
        <v>9871</v>
      </c>
      <c r="E205">
        <f t="shared" si="3"/>
        <v>472</v>
      </c>
      <c r="F20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472</v>
      </c>
      <c r="G20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472</v>
      </c>
      <c r="H205" s="28">
        <v>909</v>
      </c>
      <c r="I205">
        <f>SUM(VLOOKUP(UninsuredTable[[#This Row],[ZIP code]],ModifiedBaseTable!B:R,11,0),VLOOKUP(UninsuredTable[[#This Row],[ZIP code]],ModifiedBaseTable!B:R,17,0))</f>
        <v>40</v>
      </c>
      <c r="J205" s="73">
        <f>UninsuredTable[[#This Row],[Alternate Adj Total Uninsured]]*(UninsuredTable[[#This Row],[Below 138% of FPL - No Health Insurance]]/UninsuredTable[[#This Row],[Total Uninsured Population]])</f>
        <v>40</v>
      </c>
      <c r="K205">
        <v>1356</v>
      </c>
      <c r="L205">
        <v>236</v>
      </c>
      <c r="M205" s="73">
        <f>UninsuredTable[[#This Row],[Alternate Adj Total Uninsured]]*(UninsuredTable[[#This Row],[138% to 199% - No Health Insurance]]/UninsuredTable[[#This Row],[Total Uninsured Population]])</f>
        <v>236</v>
      </c>
      <c r="N205">
        <v>2856</v>
      </c>
      <c r="O205">
        <v>157</v>
      </c>
      <c r="P205" s="73">
        <f>UninsuredTable[[#This Row],[Alternate Adj Total Uninsured]]*(UninsuredTable[[#This Row],[200 to 399% of FPL - No Health Insurance]]/UninsuredTable[[#This Row],[Total Uninsured Population]])</f>
        <v>157</v>
      </c>
      <c r="Q205">
        <v>4750</v>
      </c>
      <c r="R205">
        <v>39</v>
      </c>
      <c r="S205" s="73">
        <f>UninsuredTable[[#This Row],[Alternate Adj Total Uninsured]]*(UninsuredTable[[#This Row],[400% FPL and over - No Health Insurance]]/UninsuredTable[[#This Row],[Total Uninsured Population]])</f>
        <v>39</v>
      </c>
    </row>
    <row r="206" spans="1:19" x14ac:dyDescent="0.3">
      <c r="A206">
        <v>21784</v>
      </c>
      <c r="B206" t="s">
        <v>1078</v>
      </c>
      <c r="C206" t="s">
        <v>1041</v>
      </c>
      <c r="D206">
        <v>37985</v>
      </c>
      <c r="E206">
        <f t="shared" si="3"/>
        <v>869</v>
      </c>
      <c r="F20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869</v>
      </c>
      <c r="G20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869</v>
      </c>
      <c r="H206" s="28">
        <v>2139</v>
      </c>
      <c r="I206">
        <f>SUM(VLOOKUP(UninsuredTable[[#This Row],[ZIP code]],ModifiedBaseTable!B:R,11,0),VLOOKUP(UninsuredTable[[#This Row],[ZIP code]],ModifiedBaseTable!B:R,17,0))</f>
        <v>105</v>
      </c>
      <c r="J206" s="73">
        <f>UninsuredTable[[#This Row],[Alternate Adj Total Uninsured]]*(UninsuredTable[[#This Row],[Below 138% of FPL - No Health Insurance]]/UninsuredTable[[#This Row],[Total Uninsured Population]])</f>
        <v>105</v>
      </c>
      <c r="K206">
        <v>1823</v>
      </c>
      <c r="L206">
        <v>80</v>
      </c>
      <c r="M206" s="73">
        <f>UninsuredTable[[#This Row],[Alternate Adj Total Uninsured]]*(UninsuredTable[[#This Row],[138% to 199% - No Health Insurance]]/UninsuredTable[[#This Row],[Total Uninsured Population]])</f>
        <v>80</v>
      </c>
      <c r="N206">
        <v>7746</v>
      </c>
      <c r="O206">
        <v>284</v>
      </c>
      <c r="P206" s="73">
        <f>UninsuredTable[[#This Row],[Alternate Adj Total Uninsured]]*(UninsuredTable[[#This Row],[200 to 399% of FPL - No Health Insurance]]/UninsuredTable[[#This Row],[Total Uninsured Population]])</f>
        <v>284</v>
      </c>
      <c r="Q206">
        <v>26277</v>
      </c>
      <c r="R206">
        <v>400</v>
      </c>
      <c r="S206" s="73">
        <f>UninsuredTable[[#This Row],[Alternate Adj Total Uninsured]]*(UninsuredTable[[#This Row],[400% FPL and over - No Health Insurance]]/UninsuredTable[[#This Row],[Total Uninsured Population]])</f>
        <v>400</v>
      </c>
    </row>
    <row r="207" spans="1:19" x14ac:dyDescent="0.3">
      <c r="A207">
        <v>21787</v>
      </c>
      <c r="B207" t="s">
        <v>1086</v>
      </c>
      <c r="C207" t="s">
        <v>1041</v>
      </c>
      <c r="D207">
        <v>10136</v>
      </c>
      <c r="E207">
        <f t="shared" si="3"/>
        <v>681</v>
      </c>
      <c r="F20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681</v>
      </c>
      <c r="G20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681</v>
      </c>
      <c r="H207" s="28">
        <v>1424</v>
      </c>
      <c r="I207">
        <f>SUM(VLOOKUP(UninsuredTable[[#This Row],[ZIP code]],ModifiedBaseTable!B:R,11,0),VLOOKUP(UninsuredTable[[#This Row],[ZIP code]],ModifiedBaseTable!B:R,17,0))</f>
        <v>78</v>
      </c>
      <c r="J207" s="73">
        <f>UninsuredTable[[#This Row],[Alternate Adj Total Uninsured]]*(UninsuredTable[[#This Row],[Below 138% of FPL - No Health Insurance]]/UninsuredTable[[#This Row],[Total Uninsured Population]])</f>
        <v>78</v>
      </c>
      <c r="K207">
        <v>947</v>
      </c>
      <c r="L207">
        <v>182</v>
      </c>
      <c r="M207" s="73">
        <f>UninsuredTable[[#This Row],[Alternate Adj Total Uninsured]]*(UninsuredTable[[#This Row],[138% to 199% - No Health Insurance]]/UninsuredTable[[#This Row],[Total Uninsured Population]])</f>
        <v>182.00000000000003</v>
      </c>
      <c r="N207">
        <v>3235</v>
      </c>
      <c r="O207">
        <v>176</v>
      </c>
      <c r="P207" s="73">
        <f>UninsuredTable[[#This Row],[Alternate Adj Total Uninsured]]*(UninsuredTable[[#This Row],[200 to 399% of FPL - No Health Insurance]]/UninsuredTable[[#This Row],[Total Uninsured Population]])</f>
        <v>176</v>
      </c>
      <c r="Q207">
        <v>4530</v>
      </c>
      <c r="R207">
        <v>245</v>
      </c>
      <c r="S207" s="73">
        <f>UninsuredTable[[#This Row],[Alternate Adj Total Uninsured]]*(UninsuredTable[[#This Row],[400% FPL and over - No Health Insurance]]/UninsuredTable[[#This Row],[Total Uninsured Population]])</f>
        <v>245</v>
      </c>
    </row>
    <row r="208" spans="1:19" x14ac:dyDescent="0.3">
      <c r="A208">
        <v>21788</v>
      </c>
      <c r="B208" t="s">
        <v>1079</v>
      </c>
      <c r="C208" t="s">
        <v>1027</v>
      </c>
      <c r="D208">
        <v>11702</v>
      </c>
      <c r="E208">
        <f t="shared" si="3"/>
        <v>799</v>
      </c>
      <c r="F20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799</v>
      </c>
      <c r="G20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799</v>
      </c>
      <c r="H208" s="28">
        <v>1241</v>
      </c>
      <c r="I208">
        <f>SUM(VLOOKUP(UninsuredTable[[#This Row],[ZIP code]],ModifiedBaseTable!B:R,11,0),VLOOKUP(UninsuredTable[[#This Row],[ZIP code]],ModifiedBaseTable!B:R,17,0))</f>
        <v>215</v>
      </c>
      <c r="J208" s="73">
        <f>UninsuredTable[[#This Row],[Alternate Adj Total Uninsured]]*(UninsuredTable[[#This Row],[Below 138% of FPL - No Health Insurance]]/UninsuredTable[[#This Row],[Total Uninsured Population]])</f>
        <v>215</v>
      </c>
      <c r="K208">
        <v>1311</v>
      </c>
      <c r="L208">
        <v>223</v>
      </c>
      <c r="M208" s="73">
        <f>UninsuredTable[[#This Row],[Alternate Adj Total Uninsured]]*(UninsuredTable[[#This Row],[138% to 199% - No Health Insurance]]/UninsuredTable[[#This Row],[Total Uninsured Population]])</f>
        <v>223</v>
      </c>
      <c r="N208">
        <v>3642</v>
      </c>
      <c r="O208">
        <v>164</v>
      </c>
      <c r="P208" s="73">
        <f>UninsuredTable[[#This Row],[Alternate Adj Total Uninsured]]*(UninsuredTable[[#This Row],[200 to 399% of FPL - No Health Insurance]]/UninsuredTable[[#This Row],[Total Uninsured Population]])</f>
        <v>164</v>
      </c>
      <c r="Q208">
        <v>5508</v>
      </c>
      <c r="R208">
        <v>197</v>
      </c>
      <c r="S208" s="73">
        <f>UninsuredTable[[#This Row],[Alternate Adj Total Uninsured]]*(UninsuredTable[[#This Row],[400% FPL and over - No Health Insurance]]/UninsuredTable[[#This Row],[Total Uninsured Population]])</f>
        <v>197</v>
      </c>
    </row>
    <row r="209" spans="1:19" x14ac:dyDescent="0.3">
      <c r="A209">
        <v>21791</v>
      </c>
      <c r="B209" t="s">
        <v>1158</v>
      </c>
      <c r="C209" t="s">
        <v>1041</v>
      </c>
      <c r="D209">
        <v>5497</v>
      </c>
      <c r="E209">
        <f t="shared" si="3"/>
        <v>253</v>
      </c>
      <c r="F20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253</v>
      </c>
      <c r="G20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253</v>
      </c>
      <c r="H209" s="28">
        <v>568</v>
      </c>
      <c r="I209">
        <f>SUM(VLOOKUP(UninsuredTable[[#This Row],[ZIP code]],ModifiedBaseTable!B:R,11,0),VLOOKUP(UninsuredTable[[#This Row],[ZIP code]],ModifiedBaseTable!B:R,17,0))</f>
        <v>97</v>
      </c>
      <c r="J209" s="73">
        <f>UninsuredTable[[#This Row],[Alternate Adj Total Uninsured]]*(UninsuredTable[[#This Row],[Below 138% of FPL - No Health Insurance]]/UninsuredTable[[#This Row],[Total Uninsured Population]])</f>
        <v>97</v>
      </c>
      <c r="K209">
        <v>422</v>
      </c>
      <c r="L209">
        <v>63</v>
      </c>
      <c r="M209" s="73">
        <f>UninsuredTable[[#This Row],[Alternate Adj Total Uninsured]]*(UninsuredTable[[#This Row],[138% to 199% - No Health Insurance]]/UninsuredTable[[#This Row],[Total Uninsured Population]])</f>
        <v>63</v>
      </c>
      <c r="N209">
        <v>1787</v>
      </c>
      <c r="O209">
        <v>58</v>
      </c>
      <c r="P209" s="73">
        <f>UninsuredTable[[#This Row],[Alternate Adj Total Uninsured]]*(UninsuredTable[[#This Row],[200 to 399% of FPL - No Health Insurance]]/UninsuredTable[[#This Row],[Total Uninsured Population]])</f>
        <v>58</v>
      </c>
      <c r="Q209">
        <v>2720</v>
      </c>
      <c r="R209">
        <v>35</v>
      </c>
      <c r="S209" s="73">
        <f>UninsuredTable[[#This Row],[Alternate Adj Total Uninsured]]*(UninsuredTable[[#This Row],[400% FPL and over - No Health Insurance]]/UninsuredTable[[#This Row],[Total Uninsured Population]])</f>
        <v>35</v>
      </c>
    </row>
    <row r="210" spans="1:19" x14ac:dyDescent="0.3">
      <c r="A210">
        <v>21793</v>
      </c>
      <c r="B210" t="s">
        <v>1133</v>
      </c>
      <c r="C210" t="s">
        <v>1027</v>
      </c>
      <c r="D210">
        <v>9854</v>
      </c>
      <c r="E210">
        <f t="shared" si="3"/>
        <v>571</v>
      </c>
      <c r="F21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571</v>
      </c>
      <c r="G21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571</v>
      </c>
      <c r="H210" s="28">
        <v>1398</v>
      </c>
      <c r="I210">
        <f>SUM(VLOOKUP(UninsuredTable[[#This Row],[ZIP code]],ModifiedBaseTable!B:R,11,0),VLOOKUP(UninsuredTable[[#This Row],[ZIP code]],ModifiedBaseTable!B:R,17,0))</f>
        <v>297</v>
      </c>
      <c r="J210" s="73">
        <f>UninsuredTable[[#This Row],[Alternate Adj Total Uninsured]]*(UninsuredTable[[#This Row],[Below 138% of FPL - No Health Insurance]]/UninsuredTable[[#This Row],[Total Uninsured Population]])</f>
        <v>297</v>
      </c>
      <c r="K210">
        <v>281</v>
      </c>
      <c r="L210">
        <v>0</v>
      </c>
      <c r="M210" s="73">
        <f>UninsuredTable[[#This Row],[Alternate Adj Total Uninsured]]*(UninsuredTable[[#This Row],[138% to 199% - No Health Insurance]]/UninsuredTable[[#This Row],[Total Uninsured Population]])</f>
        <v>0</v>
      </c>
      <c r="N210">
        <v>2758</v>
      </c>
      <c r="O210">
        <v>108</v>
      </c>
      <c r="P210" s="73">
        <f>UninsuredTable[[#This Row],[Alternate Adj Total Uninsured]]*(UninsuredTable[[#This Row],[200 to 399% of FPL - No Health Insurance]]/UninsuredTable[[#This Row],[Total Uninsured Population]])</f>
        <v>108</v>
      </c>
      <c r="Q210">
        <v>5417</v>
      </c>
      <c r="R210">
        <v>166</v>
      </c>
      <c r="S210" s="73">
        <f>UninsuredTable[[#This Row],[Alternate Adj Total Uninsured]]*(UninsuredTable[[#This Row],[400% FPL and over - No Health Insurance]]/UninsuredTable[[#This Row],[Total Uninsured Population]])</f>
        <v>166</v>
      </c>
    </row>
    <row r="211" spans="1:19" x14ac:dyDescent="0.3">
      <c r="A211">
        <v>21795</v>
      </c>
      <c r="B211" t="s">
        <v>1134</v>
      </c>
      <c r="C211" t="s">
        <v>999</v>
      </c>
      <c r="D211">
        <v>8789</v>
      </c>
      <c r="E211">
        <f t="shared" si="3"/>
        <v>463</v>
      </c>
      <c r="F21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463</v>
      </c>
      <c r="G21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463</v>
      </c>
      <c r="H211" s="28">
        <v>900</v>
      </c>
      <c r="I211">
        <f>SUM(VLOOKUP(UninsuredTable[[#This Row],[ZIP code]],ModifiedBaseTable!B:R,11,0),VLOOKUP(UninsuredTable[[#This Row],[ZIP code]],ModifiedBaseTable!B:R,17,0))</f>
        <v>150</v>
      </c>
      <c r="J211" s="73">
        <f>UninsuredTable[[#This Row],[Alternate Adj Total Uninsured]]*(UninsuredTable[[#This Row],[Below 138% of FPL - No Health Insurance]]/UninsuredTable[[#This Row],[Total Uninsured Population]])</f>
        <v>150</v>
      </c>
      <c r="K211">
        <v>1031</v>
      </c>
      <c r="L211">
        <v>52</v>
      </c>
      <c r="M211" s="73">
        <f>UninsuredTable[[#This Row],[Alternate Adj Total Uninsured]]*(UninsuredTable[[#This Row],[138% to 199% - No Health Insurance]]/UninsuredTable[[#This Row],[Total Uninsured Population]])</f>
        <v>52</v>
      </c>
      <c r="N211">
        <v>2978</v>
      </c>
      <c r="O211">
        <v>167</v>
      </c>
      <c r="P211" s="73">
        <f>UninsuredTable[[#This Row],[Alternate Adj Total Uninsured]]*(UninsuredTable[[#This Row],[200 to 399% of FPL - No Health Insurance]]/UninsuredTable[[#This Row],[Total Uninsured Population]])</f>
        <v>167</v>
      </c>
      <c r="Q211">
        <v>3880</v>
      </c>
      <c r="R211">
        <v>94</v>
      </c>
      <c r="S211" s="73">
        <f>UninsuredTable[[#This Row],[Alternate Adj Total Uninsured]]*(UninsuredTable[[#This Row],[400% FPL and over - No Health Insurance]]/UninsuredTable[[#This Row],[Total Uninsured Population]])</f>
        <v>94</v>
      </c>
    </row>
    <row r="212" spans="1:19" x14ac:dyDescent="0.3">
      <c r="A212">
        <v>21797</v>
      </c>
      <c r="B212" t="s">
        <v>1151</v>
      </c>
      <c r="C212" t="s">
        <v>1038</v>
      </c>
      <c r="D212">
        <v>8278</v>
      </c>
      <c r="E212">
        <f t="shared" si="3"/>
        <v>311</v>
      </c>
      <c r="F21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311</v>
      </c>
      <c r="G21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311</v>
      </c>
      <c r="H212" s="28">
        <v>358</v>
      </c>
      <c r="I212">
        <f>SUM(VLOOKUP(UninsuredTable[[#This Row],[ZIP code]],ModifiedBaseTable!B:R,11,0),VLOOKUP(UninsuredTable[[#This Row],[ZIP code]],ModifiedBaseTable!B:R,17,0))</f>
        <v>12</v>
      </c>
      <c r="J212" s="73">
        <f>UninsuredTable[[#This Row],[Alternate Adj Total Uninsured]]*(UninsuredTable[[#This Row],[Below 138% of FPL - No Health Insurance]]/UninsuredTable[[#This Row],[Total Uninsured Population]])</f>
        <v>12.000000000000002</v>
      </c>
      <c r="K212">
        <v>363</v>
      </c>
      <c r="L212">
        <v>57</v>
      </c>
      <c r="M212" s="73">
        <f>UninsuredTable[[#This Row],[Alternate Adj Total Uninsured]]*(UninsuredTable[[#This Row],[138% to 199% - No Health Insurance]]/UninsuredTable[[#This Row],[Total Uninsured Population]])</f>
        <v>57</v>
      </c>
      <c r="N212">
        <v>1396</v>
      </c>
      <c r="O212">
        <v>58</v>
      </c>
      <c r="P212" s="73">
        <f>UninsuredTable[[#This Row],[Alternate Adj Total Uninsured]]*(UninsuredTable[[#This Row],[200 to 399% of FPL - No Health Insurance]]/UninsuredTable[[#This Row],[Total Uninsured Population]])</f>
        <v>58</v>
      </c>
      <c r="Q212">
        <v>6161</v>
      </c>
      <c r="R212">
        <v>184</v>
      </c>
      <c r="S212" s="73">
        <f>UninsuredTable[[#This Row],[Alternate Adj Total Uninsured]]*(UninsuredTable[[#This Row],[400% FPL and over - No Health Insurance]]/UninsuredTable[[#This Row],[Total Uninsured Population]])</f>
        <v>184</v>
      </c>
    </row>
    <row r="213" spans="1:19" x14ac:dyDescent="0.3">
      <c r="A213">
        <v>21804</v>
      </c>
      <c r="B213" t="s">
        <v>1020</v>
      </c>
      <c r="C213" t="s">
        <v>1021</v>
      </c>
      <c r="D213">
        <v>39389</v>
      </c>
      <c r="E213">
        <f t="shared" si="3"/>
        <v>3225</v>
      </c>
      <c r="F21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1764</v>
      </c>
      <c r="G21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2007.5452088750328</v>
      </c>
      <c r="H213" s="28">
        <v>11048</v>
      </c>
      <c r="I213">
        <f>SUM(VLOOKUP(UninsuredTable[[#This Row],[ZIP code]],ModifiedBaseTable!B:R,11,0),VLOOKUP(UninsuredTable[[#This Row],[ZIP code]],ModifiedBaseTable!B:R,17,0))</f>
        <v>1145</v>
      </c>
      <c r="J213" s="73">
        <f>UninsuredTable[[#This Row],[Alternate Adj Total Uninsured]]*(UninsuredTable[[#This Row],[Below 138% of FPL - No Health Insurance]]/UninsuredTable[[#This Row],[Total Uninsured Population]])</f>
        <v>712.75636098043799</v>
      </c>
      <c r="K213">
        <v>5138</v>
      </c>
      <c r="L213">
        <v>503</v>
      </c>
      <c r="M213" s="73">
        <f>UninsuredTable[[#This Row],[Alternate Adj Total Uninsured]]*(UninsuredTable[[#This Row],[138% to 199% - No Health Insurance]]/UninsuredTable[[#This Row],[Total Uninsured Population]])</f>
        <v>313.11480312066402</v>
      </c>
      <c r="N213">
        <v>12200</v>
      </c>
      <c r="O213">
        <v>1088</v>
      </c>
      <c r="P213" s="73">
        <f>UninsuredTable[[#This Row],[Alternate Adj Total Uninsured]]*(UninsuredTable[[#This Row],[200 to 399% of FPL - No Health Insurance]]/UninsuredTable[[#This Row],[Total Uninsured Population]])</f>
        <v>677.2741665910188</v>
      </c>
      <c r="Q213">
        <v>11003</v>
      </c>
      <c r="R213">
        <v>489</v>
      </c>
      <c r="S213" s="73">
        <f>UninsuredTable[[#This Row],[Alternate Adj Total Uninsured]]*(UninsuredTable[[#This Row],[400% FPL and over - No Health Insurance]]/UninsuredTable[[#This Row],[Total Uninsured Population]])</f>
        <v>304.39987818291195</v>
      </c>
    </row>
    <row r="214" spans="1:19" x14ac:dyDescent="0.3">
      <c r="A214">
        <v>21801</v>
      </c>
      <c r="B214" t="s">
        <v>1020</v>
      </c>
      <c r="C214" t="s">
        <v>1021</v>
      </c>
      <c r="D214">
        <v>28044</v>
      </c>
      <c r="E214">
        <f t="shared" si="3"/>
        <v>2557</v>
      </c>
      <c r="F21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1378.4</v>
      </c>
      <c r="G21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1577.5340237272328</v>
      </c>
      <c r="H214" s="28">
        <v>6416</v>
      </c>
      <c r="I214">
        <f>SUM(VLOOKUP(UninsuredTable[[#This Row],[ZIP code]],ModifiedBaseTable!B:R,11,0),VLOOKUP(UninsuredTable[[#This Row],[ZIP code]],ModifiedBaseTable!B:R,17,0))</f>
        <v>593</v>
      </c>
      <c r="J214" s="73">
        <f>UninsuredTable[[#This Row],[Alternate Adj Total Uninsured]]*(UninsuredTable[[#This Row],[Below 138% of FPL - No Health Insurance]]/UninsuredTable[[#This Row],[Total Uninsured Population]])</f>
        <v>365.84969732899845</v>
      </c>
      <c r="K214">
        <v>3081</v>
      </c>
      <c r="L214">
        <v>395</v>
      </c>
      <c r="M214" s="73">
        <f>UninsuredTable[[#This Row],[Alternate Adj Total Uninsured]]*(UninsuredTable[[#This Row],[138% to 199% - No Health Insurance]]/UninsuredTable[[#This Row],[Total Uninsured Population]])</f>
        <v>243.69414914832106</v>
      </c>
      <c r="N214">
        <v>6829</v>
      </c>
      <c r="O214">
        <v>953</v>
      </c>
      <c r="P214" s="73">
        <f>UninsuredTable[[#This Row],[Alternate Adj Total Uninsured]]*(UninsuredTable[[#This Row],[200 to 399% of FPL - No Health Insurance]]/UninsuredTable[[#This Row],[Total Uninsured Population]])</f>
        <v>587.95069402113916</v>
      </c>
      <c r="Q214">
        <v>11718</v>
      </c>
      <c r="R214">
        <v>616</v>
      </c>
      <c r="S214" s="73">
        <f>UninsuredTable[[#This Row],[Alternate Adj Total Uninsured]]*(UninsuredTable[[#This Row],[400% FPL and over - No Health Insurance]]/UninsuredTable[[#This Row],[Total Uninsured Population]])</f>
        <v>380.03948322877409</v>
      </c>
    </row>
    <row r="215" spans="1:19" x14ac:dyDescent="0.3">
      <c r="A215">
        <v>21811</v>
      </c>
      <c r="B215" t="s">
        <v>1061</v>
      </c>
      <c r="C215" t="s">
        <v>1062</v>
      </c>
      <c r="D215">
        <v>22671</v>
      </c>
      <c r="E215">
        <f t="shared" si="3"/>
        <v>1512</v>
      </c>
      <c r="F21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1136</v>
      </c>
      <c r="G21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1157.9668227612774</v>
      </c>
      <c r="H215" s="28">
        <v>2961</v>
      </c>
      <c r="I215">
        <f>SUM(VLOOKUP(UninsuredTable[[#This Row],[ZIP code]],ModifiedBaseTable!B:R,11,0),VLOOKUP(UninsuredTable[[#This Row],[ZIP code]],ModifiedBaseTable!B:R,17,0))</f>
        <v>376</v>
      </c>
      <c r="J215" s="73">
        <f>UninsuredTable[[#This Row],[Alternate Adj Total Uninsured]]*(UninsuredTable[[#This Row],[Below 138% of FPL - No Health Insurance]]/UninsuredTable[[#This Row],[Total Uninsured Population]])</f>
        <v>287.96000354380971</v>
      </c>
      <c r="K215">
        <v>1866</v>
      </c>
      <c r="L215">
        <v>71</v>
      </c>
      <c r="M215" s="73">
        <f>UninsuredTable[[#This Row],[Alternate Adj Total Uninsured]]*(UninsuredTable[[#This Row],[138% to 199% - No Health Insurance]]/UninsuredTable[[#This Row],[Total Uninsured Population]])</f>
        <v>54.375426201091727</v>
      </c>
      <c r="N215">
        <v>6783</v>
      </c>
      <c r="O215">
        <v>565</v>
      </c>
      <c r="P215" s="73">
        <f>UninsuredTable[[#This Row],[Alternate Adj Total Uninsured]]*(UninsuredTable[[#This Row],[200 to 399% of FPL - No Health Insurance]]/UninsuredTable[[#This Row],[Total Uninsured Population]])</f>
        <v>432.70585638896938</v>
      </c>
      <c r="Q215">
        <v>11061</v>
      </c>
      <c r="R215">
        <v>500</v>
      </c>
      <c r="S215" s="73">
        <f>UninsuredTable[[#This Row],[Alternate Adj Total Uninsured]]*(UninsuredTable[[#This Row],[400% FPL and over - No Health Insurance]]/UninsuredTable[[#This Row],[Total Uninsured Population]])</f>
        <v>382.92553662740659</v>
      </c>
    </row>
    <row r="216" spans="1:19" x14ac:dyDescent="0.3">
      <c r="A216">
        <v>21853</v>
      </c>
      <c r="B216" t="s">
        <v>1107</v>
      </c>
      <c r="C216" t="s">
        <v>1108</v>
      </c>
      <c r="D216">
        <v>8657</v>
      </c>
      <c r="E216">
        <f t="shared" si="3"/>
        <v>674</v>
      </c>
      <c r="F21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674</v>
      </c>
      <c r="G21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674</v>
      </c>
      <c r="H216" s="28">
        <v>3291</v>
      </c>
      <c r="I216">
        <f>SUM(VLOOKUP(UninsuredTable[[#This Row],[ZIP code]],ModifiedBaseTable!B:R,11,0),VLOOKUP(UninsuredTable[[#This Row],[ZIP code]],ModifiedBaseTable!B:R,17,0))</f>
        <v>126</v>
      </c>
      <c r="J216" s="73">
        <f>UninsuredTable[[#This Row],[Alternate Adj Total Uninsured]]*(UninsuredTable[[#This Row],[Below 138% of FPL - No Health Insurance]]/UninsuredTable[[#This Row],[Total Uninsured Population]])</f>
        <v>125.99999999999999</v>
      </c>
      <c r="K216">
        <v>878</v>
      </c>
      <c r="L216">
        <v>137</v>
      </c>
      <c r="M216" s="73">
        <f>UninsuredTable[[#This Row],[Alternate Adj Total Uninsured]]*(UninsuredTable[[#This Row],[138% to 199% - No Health Insurance]]/UninsuredTable[[#This Row],[Total Uninsured Population]])</f>
        <v>137</v>
      </c>
      <c r="N216">
        <v>2094</v>
      </c>
      <c r="O216">
        <v>289</v>
      </c>
      <c r="P216" s="73">
        <f>UninsuredTable[[#This Row],[Alternate Adj Total Uninsured]]*(UninsuredTable[[#This Row],[200 to 399% of FPL - No Health Insurance]]/UninsuredTable[[#This Row],[Total Uninsured Population]])</f>
        <v>289</v>
      </c>
      <c r="Q216">
        <v>2394</v>
      </c>
      <c r="R216">
        <v>122</v>
      </c>
      <c r="S216" s="73">
        <f>UninsuredTable[[#This Row],[Alternate Adj Total Uninsured]]*(UninsuredTable[[#This Row],[400% FPL and over - No Health Insurance]]/UninsuredTable[[#This Row],[Total Uninsured Population]])</f>
        <v>122</v>
      </c>
    </row>
    <row r="217" spans="1:19" x14ac:dyDescent="0.3">
      <c r="A217">
        <v>21842</v>
      </c>
      <c r="B217" t="s">
        <v>1082</v>
      </c>
      <c r="C217" t="s">
        <v>1062</v>
      </c>
      <c r="D217">
        <v>10621</v>
      </c>
      <c r="E217">
        <f t="shared" si="3"/>
        <v>767</v>
      </c>
      <c r="F21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767</v>
      </c>
      <c r="G21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767</v>
      </c>
      <c r="H217" s="28">
        <v>1449</v>
      </c>
      <c r="I217">
        <f>SUM(VLOOKUP(UninsuredTable[[#This Row],[ZIP code]],ModifiedBaseTable!B:R,11,0),VLOOKUP(UninsuredTable[[#This Row],[ZIP code]],ModifiedBaseTable!B:R,17,0))</f>
        <v>242</v>
      </c>
      <c r="J217" s="73">
        <f>UninsuredTable[[#This Row],[Alternate Adj Total Uninsured]]*(UninsuredTable[[#This Row],[Below 138% of FPL - No Health Insurance]]/UninsuredTable[[#This Row],[Total Uninsured Population]])</f>
        <v>242</v>
      </c>
      <c r="K217">
        <v>1077</v>
      </c>
      <c r="L217">
        <v>108</v>
      </c>
      <c r="M217" s="73">
        <f>UninsuredTable[[#This Row],[Alternate Adj Total Uninsured]]*(UninsuredTable[[#This Row],[138% to 199% - No Health Insurance]]/UninsuredTable[[#This Row],[Total Uninsured Population]])</f>
        <v>108</v>
      </c>
      <c r="N217">
        <v>3275</v>
      </c>
      <c r="O217">
        <v>215</v>
      </c>
      <c r="P217" s="73">
        <f>UninsuredTable[[#This Row],[Alternate Adj Total Uninsured]]*(UninsuredTable[[#This Row],[200 to 399% of FPL - No Health Insurance]]/UninsuredTable[[#This Row],[Total Uninsured Population]])</f>
        <v>215</v>
      </c>
      <c r="Q217">
        <v>4820</v>
      </c>
      <c r="R217">
        <v>202</v>
      </c>
      <c r="S217" s="73">
        <f>UninsuredTable[[#This Row],[Alternate Adj Total Uninsured]]*(UninsuredTable[[#This Row],[400% FPL and over - No Health Insurance]]/UninsuredTable[[#This Row],[Total Uninsured Population]])</f>
        <v>202</v>
      </c>
    </row>
    <row r="218" spans="1:19" x14ac:dyDescent="0.3">
      <c r="A218">
        <v>21875</v>
      </c>
      <c r="B218" t="s">
        <v>1110</v>
      </c>
      <c r="C218" t="s">
        <v>1021</v>
      </c>
      <c r="D218">
        <v>6132</v>
      </c>
      <c r="E218">
        <f t="shared" si="3"/>
        <v>693</v>
      </c>
      <c r="F218">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693</v>
      </c>
      <c r="G218"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693</v>
      </c>
      <c r="H218" s="28">
        <v>1210</v>
      </c>
      <c r="I218">
        <f>SUM(VLOOKUP(UninsuredTable[[#This Row],[ZIP code]],ModifiedBaseTable!B:R,11,0),VLOOKUP(UninsuredTable[[#This Row],[ZIP code]],ModifiedBaseTable!B:R,17,0))</f>
        <v>303</v>
      </c>
      <c r="J218" s="73">
        <f>UninsuredTable[[#This Row],[Alternate Adj Total Uninsured]]*(UninsuredTable[[#This Row],[Below 138% of FPL - No Health Insurance]]/UninsuredTable[[#This Row],[Total Uninsured Population]])</f>
        <v>303</v>
      </c>
      <c r="K218">
        <v>497</v>
      </c>
      <c r="L218">
        <v>79</v>
      </c>
      <c r="M218" s="73">
        <f>UninsuredTable[[#This Row],[Alternate Adj Total Uninsured]]*(UninsuredTable[[#This Row],[138% to 199% - No Health Insurance]]/UninsuredTable[[#This Row],[Total Uninsured Population]])</f>
        <v>79</v>
      </c>
      <c r="N218">
        <v>1762</v>
      </c>
      <c r="O218">
        <v>143</v>
      </c>
      <c r="P218" s="73">
        <f>UninsuredTable[[#This Row],[Alternate Adj Total Uninsured]]*(UninsuredTable[[#This Row],[200 to 399% of FPL - No Health Insurance]]/UninsuredTable[[#This Row],[Total Uninsured Population]])</f>
        <v>143</v>
      </c>
      <c r="Q218">
        <v>2663</v>
      </c>
      <c r="R218">
        <v>168</v>
      </c>
      <c r="S218" s="73">
        <f>UninsuredTable[[#This Row],[Alternate Adj Total Uninsured]]*(UninsuredTable[[#This Row],[400% FPL and over - No Health Insurance]]/UninsuredTable[[#This Row],[Total Uninsured Population]])</f>
        <v>168</v>
      </c>
    </row>
    <row r="219" spans="1:19" x14ac:dyDescent="0.3">
      <c r="A219">
        <v>21851</v>
      </c>
      <c r="B219" t="s">
        <v>1102</v>
      </c>
      <c r="C219" t="s">
        <v>1062</v>
      </c>
      <c r="D219">
        <v>6970</v>
      </c>
      <c r="E219">
        <f t="shared" si="3"/>
        <v>612</v>
      </c>
      <c r="F219">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612</v>
      </c>
      <c r="G219"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612</v>
      </c>
      <c r="H219" s="28">
        <v>1989</v>
      </c>
      <c r="I219">
        <f>SUM(VLOOKUP(UninsuredTable[[#This Row],[ZIP code]],ModifiedBaseTable!B:R,11,0),VLOOKUP(UninsuredTable[[#This Row],[ZIP code]],ModifiedBaseTable!B:R,17,0))</f>
        <v>238</v>
      </c>
      <c r="J219" s="73">
        <f>UninsuredTable[[#This Row],[Alternate Adj Total Uninsured]]*(UninsuredTable[[#This Row],[Below 138% of FPL - No Health Insurance]]/UninsuredTable[[#This Row],[Total Uninsured Population]])</f>
        <v>238</v>
      </c>
      <c r="K219">
        <v>1278</v>
      </c>
      <c r="L219">
        <v>151</v>
      </c>
      <c r="M219" s="73">
        <f>UninsuredTable[[#This Row],[Alternate Adj Total Uninsured]]*(UninsuredTable[[#This Row],[138% to 199% - No Health Insurance]]/UninsuredTable[[#This Row],[Total Uninsured Population]])</f>
        <v>151</v>
      </c>
      <c r="N219">
        <v>1536</v>
      </c>
      <c r="O219">
        <v>45</v>
      </c>
      <c r="P219" s="73">
        <f>UninsuredTable[[#This Row],[Alternate Adj Total Uninsured]]*(UninsuredTable[[#This Row],[200 to 399% of FPL - No Health Insurance]]/UninsuredTable[[#This Row],[Total Uninsured Population]])</f>
        <v>45</v>
      </c>
      <c r="Q219">
        <v>2167</v>
      </c>
      <c r="R219">
        <v>178</v>
      </c>
      <c r="S219" s="73">
        <f>UninsuredTable[[#This Row],[Alternate Adj Total Uninsured]]*(UninsuredTable[[#This Row],[400% FPL and over - No Health Insurance]]/UninsuredTable[[#This Row],[Total Uninsured Population]])</f>
        <v>178</v>
      </c>
    </row>
    <row r="220" spans="1:19" x14ac:dyDescent="0.3">
      <c r="A220">
        <v>21822</v>
      </c>
      <c r="B220" t="s">
        <v>1162</v>
      </c>
      <c r="C220" t="s">
        <v>1062</v>
      </c>
      <c r="D220">
        <v>2323</v>
      </c>
      <c r="E220">
        <f t="shared" si="3"/>
        <v>447</v>
      </c>
      <c r="F220">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447</v>
      </c>
      <c r="G220"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447</v>
      </c>
      <c r="H220" s="28">
        <v>367</v>
      </c>
      <c r="I220">
        <f>SUM(VLOOKUP(UninsuredTable[[#This Row],[ZIP code]],ModifiedBaseTable!B:R,11,0),VLOOKUP(UninsuredTable[[#This Row],[ZIP code]],ModifiedBaseTable!B:R,17,0))</f>
        <v>105</v>
      </c>
      <c r="J220" s="73">
        <f>UninsuredTable[[#This Row],[Alternate Adj Total Uninsured]]*(UninsuredTable[[#This Row],[Below 138% of FPL - No Health Insurance]]/UninsuredTable[[#This Row],[Total Uninsured Population]])</f>
        <v>105</v>
      </c>
      <c r="K220">
        <v>168</v>
      </c>
      <c r="L220">
        <v>0</v>
      </c>
      <c r="M220" s="73">
        <f>UninsuredTable[[#This Row],[Alternate Adj Total Uninsured]]*(UninsuredTable[[#This Row],[138% to 199% - No Health Insurance]]/UninsuredTable[[#This Row],[Total Uninsured Population]])</f>
        <v>0</v>
      </c>
      <c r="N220">
        <v>879</v>
      </c>
      <c r="O220">
        <v>178</v>
      </c>
      <c r="P220" s="73">
        <f>UninsuredTable[[#This Row],[Alternate Adj Total Uninsured]]*(UninsuredTable[[#This Row],[200 to 399% of FPL - No Health Insurance]]/UninsuredTable[[#This Row],[Total Uninsured Population]])</f>
        <v>178</v>
      </c>
      <c r="Q220">
        <v>909</v>
      </c>
      <c r="R220">
        <v>164</v>
      </c>
      <c r="S220" s="73">
        <f>UninsuredTable[[#This Row],[Alternate Adj Total Uninsured]]*(UninsuredTable[[#This Row],[400% FPL and over - No Health Insurance]]/UninsuredTable[[#This Row],[Total Uninsured Population]])</f>
        <v>164</v>
      </c>
    </row>
    <row r="221" spans="1:19" x14ac:dyDescent="0.3">
      <c r="A221">
        <v>21817</v>
      </c>
      <c r="B221" t="s">
        <v>1123</v>
      </c>
      <c r="C221" t="s">
        <v>1108</v>
      </c>
      <c r="D221">
        <v>4909</v>
      </c>
      <c r="E221">
        <f t="shared" si="3"/>
        <v>397</v>
      </c>
      <c r="F221">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397</v>
      </c>
      <c r="G221"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397</v>
      </c>
      <c r="H221" s="28">
        <v>1523</v>
      </c>
      <c r="I221">
        <f>SUM(VLOOKUP(UninsuredTable[[#This Row],[ZIP code]],ModifiedBaseTable!B:R,11,0),VLOOKUP(UninsuredTable[[#This Row],[ZIP code]],ModifiedBaseTable!B:R,17,0))</f>
        <v>183</v>
      </c>
      <c r="J221" s="73">
        <f>UninsuredTable[[#This Row],[Alternate Adj Total Uninsured]]*(UninsuredTable[[#This Row],[Below 138% of FPL - No Health Insurance]]/UninsuredTable[[#This Row],[Total Uninsured Population]])</f>
        <v>183</v>
      </c>
      <c r="K221">
        <v>1028</v>
      </c>
      <c r="L221">
        <v>120</v>
      </c>
      <c r="M221" s="73">
        <f>UninsuredTable[[#This Row],[Alternate Adj Total Uninsured]]*(UninsuredTable[[#This Row],[138% to 199% - No Health Insurance]]/UninsuredTable[[#This Row],[Total Uninsured Population]])</f>
        <v>120.00000000000001</v>
      </c>
      <c r="N221">
        <v>1242</v>
      </c>
      <c r="O221">
        <v>58</v>
      </c>
      <c r="P221" s="73">
        <f>UninsuredTable[[#This Row],[Alternate Adj Total Uninsured]]*(UninsuredTable[[#This Row],[200 to 399% of FPL - No Health Insurance]]/UninsuredTable[[#This Row],[Total Uninsured Population]])</f>
        <v>58</v>
      </c>
      <c r="Q221">
        <v>1116</v>
      </c>
      <c r="R221">
        <v>36</v>
      </c>
      <c r="S221" s="73">
        <f>UninsuredTable[[#This Row],[Alternate Adj Total Uninsured]]*(UninsuredTable[[#This Row],[400% FPL and over - No Health Insurance]]/UninsuredTable[[#This Row],[Total Uninsured Population]])</f>
        <v>36</v>
      </c>
    </row>
    <row r="222" spans="1:19" x14ac:dyDescent="0.3">
      <c r="A222">
        <v>21863</v>
      </c>
      <c r="B222" t="s">
        <v>1149</v>
      </c>
      <c r="C222" t="s">
        <v>1062</v>
      </c>
      <c r="D222">
        <v>4499</v>
      </c>
      <c r="E222">
        <f t="shared" si="3"/>
        <v>299</v>
      </c>
      <c r="F222">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299</v>
      </c>
      <c r="G222"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299</v>
      </c>
      <c r="H222" s="28">
        <v>844</v>
      </c>
      <c r="I222">
        <f>SUM(VLOOKUP(UninsuredTable[[#This Row],[ZIP code]],ModifiedBaseTable!B:R,11,0),VLOOKUP(UninsuredTable[[#This Row],[ZIP code]],ModifiedBaseTable!B:R,17,0))</f>
        <v>35</v>
      </c>
      <c r="J222" s="73">
        <f>UninsuredTable[[#This Row],[Alternate Adj Total Uninsured]]*(UninsuredTable[[#This Row],[Below 138% of FPL - No Health Insurance]]/UninsuredTable[[#This Row],[Total Uninsured Population]])</f>
        <v>35</v>
      </c>
      <c r="K222">
        <v>804</v>
      </c>
      <c r="L222">
        <v>124</v>
      </c>
      <c r="M222" s="73">
        <f>UninsuredTable[[#This Row],[Alternate Adj Total Uninsured]]*(UninsuredTable[[#This Row],[138% to 199% - No Health Insurance]]/UninsuredTable[[#This Row],[Total Uninsured Population]])</f>
        <v>124</v>
      </c>
      <c r="N222">
        <v>1566</v>
      </c>
      <c r="O222">
        <v>123</v>
      </c>
      <c r="P222" s="73">
        <f>UninsuredTable[[#This Row],[Alternate Adj Total Uninsured]]*(UninsuredTable[[#This Row],[200 to 399% of FPL - No Health Insurance]]/UninsuredTable[[#This Row],[Total Uninsured Population]])</f>
        <v>123</v>
      </c>
      <c r="Q222">
        <v>1285</v>
      </c>
      <c r="R222">
        <v>17</v>
      </c>
      <c r="S222" s="73">
        <f>UninsuredTable[[#This Row],[Alternate Adj Total Uninsured]]*(UninsuredTable[[#This Row],[400% FPL and over - No Health Insurance]]/UninsuredTable[[#This Row],[Total Uninsured Population]])</f>
        <v>17</v>
      </c>
    </row>
    <row r="223" spans="1:19" x14ac:dyDescent="0.3">
      <c r="A223">
        <v>21826</v>
      </c>
      <c r="B223" t="s">
        <v>1126</v>
      </c>
      <c r="C223" t="s">
        <v>1021</v>
      </c>
      <c r="D223">
        <v>5304</v>
      </c>
      <c r="E223">
        <f t="shared" si="3"/>
        <v>558</v>
      </c>
      <c r="F223">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558</v>
      </c>
      <c r="G223"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558</v>
      </c>
      <c r="H223" s="28">
        <v>980</v>
      </c>
      <c r="I223">
        <f>SUM(VLOOKUP(UninsuredTable[[#This Row],[ZIP code]],ModifiedBaseTable!B:R,11,0),VLOOKUP(UninsuredTable[[#This Row],[ZIP code]],ModifiedBaseTable!B:R,17,0))</f>
        <v>139</v>
      </c>
      <c r="J223" s="73">
        <f>UninsuredTable[[#This Row],[Alternate Adj Total Uninsured]]*(UninsuredTable[[#This Row],[Below 138% of FPL - No Health Insurance]]/UninsuredTable[[#This Row],[Total Uninsured Population]])</f>
        <v>139</v>
      </c>
      <c r="K223">
        <v>625</v>
      </c>
      <c r="L223">
        <v>22</v>
      </c>
      <c r="M223" s="73">
        <f>UninsuredTable[[#This Row],[Alternate Adj Total Uninsured]]*(UninsuredTable[[#This Row],[138% to 199% - No Health Insurance]]/UninsuredTable[[#This Row],[Total Uninsured Population]])</f>
        <v>22</v>
      </c>
      <c r="N223">
        <v>2198</v>
      </c>
      <c r="O223">
        <v>327</v>
      </c>
      <c r="P223" s="73">
        <f>UninsuredTable[[#This Row],[Alternate Adj Total Uninsured]]*(UninsuredTable[[#This Row],[200 to 399% of FPL - No Health Insurance]]/UninsuredTable[[#This Row],[Total Uninsured Population]])</f>
        <v>327</v>
      </c>
      <c r="Q223">
        <v>1501</v>
      </c>
      <c r="R223">
        <v>70</v>
      </c>
      <c r="S223" s="73">
        <f>UninsuredTable[[#This Row],[Alternate Adj Total Uninsured]]*(UninsuredTable[[#This Row],[400% FPL and over - No Health Insurance]]/UninsuredTable[[#This Row],[Total Uninsured Population]])</f>
        <v>70</v>
      </c>
    </row>
    <row r="224" spans="1:19" x14ac:dyDescent="0.3">
      <c r="A224">
        <v>21901</v>
      </c>
      <c r="B224" t="s">
        <v>1065</v>
      </c>
      <c r="C224" t="s">
        <v>1017</v>
      </c>
      <c r="D224">
        <v>17441</v>
      </c>
      <c r="E224">
        <f t="shared" si="3"/>
        <v>831</v>
      </c>
      <c r="F224">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831</v>
      </c>
      <c r="G224"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831</v>
      </c>
      <c r="H224" s="28">
        <v>2466</v>
      </c>
      <c r="I224">
        <f>SUM(VLOOKUP(UninsuredTable[[#This Row],[ZIP code]],ModifiedBaseTable!B:R,11,0),VLOOKUP(UninsuredTable[[#This Row],[ZIP code]],ModifiedBaseTable!B:R,17,0))</f>
        <v>274</v>
      </c>
      <c r="J224" s="73">
        <f>UninsuredTable[[#This Row],[Alternate Adj Total Uninsured]]*(UninsuredTable[[#This Row],[Below 138% of FPL - No Health Insurance]]/UninsuredTable[[#This Row],[Total Uninsured Population]])</f>
        <v>274</v>
      </c>
      <c r="K224">
        <v>1550</v>
      </c>
      <c r="L224">
        <v>160</v>
      </c>
      <c r="M224" s="73">
        <f>UninsuredTable[[#This Row],[Alternate Adj Total Uninsured]]*(UninsuredTable[[#This Row],[138% to 199% - No Health Insurance]]/UninsuredTable[[#This Row],[Total Uninsured Population]])</f>
        <v>160</v>
      </c>
      <c r="N224">
        <v>5177</v>
      </c>
      <c r="O224">
        <v>245</v>
      </c>
      <c r="P224" s="73">
        <f>UninsuredTable[[#This Row],[Alternate Adj Total Uninsured]]*(UninsuredTable[[#This Row],[200 to 399% of FPL - No Health Insurance]]/UninsuredTable[[#This Row],[Total Uninsured Population]])</f>
        <v>245</v>
      </c>
      <c r="Q224">
        <v>8248</v>
      </c>
      <c r="R224">
        <v>152</v>
      </c>
      <c r="S224" s="73">
        <f>UninsuredTable[[#This Row],[Alternate Adj Total Uninsured]]*(UninsuredTable[[#This Row],[400% FPL and over - No Health Insurance]]/UninsuredTable[[#This Row],[Total Uninsured Population]])</f>
        <v>152</v>
      </c>
    </row>
    <row r="225" spans="1:19" x14ac:dyDescent="0.3">
      <c r="A225">
        <v>21904</v>
      </c>
      <c r="B225" t="s">
        <v>1159</v>
      </c>
      <c r="C225" t="s">
        <v>1017</v>
      </c>
      <c r="D225">
        <v>7197</v>
      </c>
      <c r="E225">
        <f t="shared" si="3"/>
        <v>277</v>
      </c>
      <c r="F225">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277</v>
      </c>
      <c r="G225"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277</v>
      </c>
      <c r="H225" s="28">
        <v>1016</v>
      </c>
      <c r="I225">
        <f>SUM(VLOOKUP(UninsuredTable[[#This Row],[ZIP code]],ModifiedBaseTable!B:R,11,0),VLOOKUP(UninsuredTable[[#This Row],[ZIP code]],ModifiedBaseTable!B:R,17,0))</f>
        <v>72</v>
      </c>
      <c r="J225" s="73">
        <f>UninsuredTable[[#This Row],[Alternate Adj Total Uninsured]]*(UninsuredTable[[#This Row],[Below 138% of FPL - No Health Insurance]]/UninsuredTable[[#This Row],[Total Uninsured Population]])</f>
        <v>72</v>
      </c>
      <c r="K225">
        <v>374</v>
      </c>
      <c r="L225">
        <v>13</v>
      </c>
      <c r="M225" s="73">
        <f>UninsuredTable[[#This Row],[Alternate Adj Total Uninsured]]*(UninsuredTable[[#This Row],[138% to 199% - No Health Insurance]]/UninsuredTable[[#This Row],[Total Uninsured Population]])</f>
        <v>13</v>
      </c>
      <c r="N225">
        <v>1936</v>
      </c>
      <c r="O225">
        <v>43</v>
      </c>
      <c r="P225" s="73">
        <f>UninsuredTable[[#This Row],[Alternate Adj Total Uninsured]]*(UninsuredTable[[#This Row],[200 to 399% of FPL - No Health Insurance]]/UninsuredTable[[#This Row],[Total Uninsured Population]])</f>
        <v>43.000000000000007</v>
      </c>
      <c r="Q225">
        <v>3871</v>
      </c>
      <c r="R225">
        <v>149</v>
      </c>
      <c r="S225" s="73">
        <f>UninsuredTable[[#This Row],[Alternate Adj Total Uninsured]]*(UninsuredTable[[#This Row],[400% FPL and over - No Health Insurance]]/UninsuredTable[[#This Row],[Total Uninsured Population]])</f>
        <v>149</v>
      </c>
    </row>
    <row r="226" spans="1:19" x14ac:dyDescent="0.3">
      <c r="A226">
        <v>21911</v>
      </c>
      <c r="B226" t="s">
        <v>1115</v>
      </c>
      <c r="C226" t="s">
        <v>1017</v>
      </c>
      <c r="D226">
        <v>11213</v>
      </c>
      <c r="E226">
        <f t="shared" si="3"/>
        <v>556</v>
      </c>
      <c r="F226">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556</v>
      </c>
      <c r="G226"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556</v>
      </c>
      <c r="H226" s="28">
        <v>1305</v>
      </c>
      <c r="I226">
        <f>SUM(VLOOKUP(UninsuredTable[[#This Row],[ZIP code]],ModifiedBaseTable!B:R,11,0),VLOOKUP(UninsuredTable[[#This Row],[ZIP code]],ModifiedBaseTable!B:R,17,0))</f>
        <v>194</v>
      </c>
      <c r="J226" s="73">
        <f>UninsuredTable[[#This Row],[Alternate Adj Total Uninsured]]*(UninsuredTable[[#This Row],[Below 138% of FPL - No Health Insurance]]/UninsuredTable[[#This Row],[Total Uninsured Population]])</f>
        <v>194</v>
      </c>
      <c r="K226">
        <v>1163</v>
      </c>
      <c r="L226">
        <v>121</v>
      </c>
      <c r="M226" s="73">
        <f>UninsuredTable[[#This Row],[Alternate Adj Total Uninsured]]*(UninsuredTable[[#This Row],[138% to 199% - No Health Insurance]]/UninsuredTable[[#This Row],[Total Uninsured Population]])</f>
        <v>121</v>
      </c>
      <c r="N226">
        <v>3318</v>
      </c>
      <c r="O226">
        <v>176</v>
      </c>
      <c r="P226" s="73">
        <f>UninsuredTable[[#This Row],[Alternate Adj Total Uninsured]]*(UninsuredTable[[#This Row],[200 to 399% of FPL - No Health Insurance]]/UninsuredTable[[#This Row],[Total Uninsured Population]])</f>
        <v>176</v>
      </c>
      <c r="Q226">
        <v>5427</v>
      </c>
      <c r="R226">
        <v>65</v>
      </c>
      <c r="S226" s="73">
        <f>UninsuredTable[[#This Row],[Alternate Adj Total Uninsured]]*(UninsuredTable[[#This Row],[400% FPL and over - No Health Insurance]]/UninsuredTable[[#This Row],[Total Uninsured Population]])</f>
        <v>65</v>
      </c>
    </row>
    <row r="227" spans="1:19" x14ac:dyDescent="0.3">
      <c r="A227">
        <v>21921</v>
      </c>
      <c r="B227" t="s">
        <v>1016</v>
      </c>
      <c r="C227" t="s">
        <v>1017</v>
      </c>
      <c r="D227">
        <v>43608</v>
      </c>
      <c r="E227">
        <f t="shared" si="3"/>
        <v>2659</v>
      </c>
      <c r="F227">
        <f>IF(UninsuredTable[[#This Row],[Total Uninsured Population]]&lt;1000,UninsuredTable[[#This Row],[Total Uninsured Population]],MAX(VLOOKUP(UninsuredTable[[#This Row],[ZIP code]],IRSzipToCntyTbl[#All],3,0),(UninsuredTable[[#This Row],[Total Uninsured Population]]-(VLOOKUP(UninsuredTable[[#This Row],[ZIP code]],CitizenshipTbl[[#All],[ZIP Code]:[Estimate; Foreign Born: - Noncitizen: - No health insurance coverage]],3,0))))*0.8)</f>
        <v>1864.8000000000002</v>
      </c>
      <c r="G227" s="73">
        <f>IF(UninsuredTable[[#This Row],[Total Uninsured Population]]&lt;1000,UninsuredTable[[#This Row],[Total Uninsured Population]],MAX(VLOOKUP(UninsuredTable[[#This Row],[ZIP code]],IRSzipToCntyTbl[#All],3,0),(UninsuredTable[[#This Row],[Total Uninsured Population]]-(109811*(VLOOKUP(UninsuredTable[[#This Row],[ZIP code]],CitizenshipTbl[#All],4,0))))*0.8))</f>
        <v>1943.1164985402065</v>
      </c>
      <c r="H227" s="28">
        <v>7927</v>
      </c>
      <c r="I227">
        <f>SUM(VLOOKUP(UninsuredTable[[#This Row],[ZIP code]],ModifiedBaseTable!B:R,11,0),VLOOKUP(UninsuredTable[[#This Row],[ZIP code]],ModifiedBaseTable!B:R,17,0))</f>
        <v>975</v>
      </c>
      <c r="J227" s="73">
        <f>UninsuredTable[[#This Row],[Alternate Adj Total Uninsured]]*(UninsuredTable[[#This Row],[Below 138% of FPL - No Health Insurance]]/UninsuredTable[[#This Row],[Total Uninsured Population]])</f>
        <v>712.50040845306557</v>
      </c>
      <c r="K227">
        <v>3660</v>
      </c>
      <c r="L227">
        <v>395</v>
      </c>
      <c r="M227" s="73">
        <f>UninsuredTable[[#This Row],[Alternate Adj Total Uninsured]]*(UninsuredTable[[#This Row],[138% to 199% - No Health Insurance]]/UninsuredTable[[#This Row],[Total Uninsured Population]])</f>
        <v>288.65401162970346</v>
      </c>
      <c r="N227">
        <v>12270</v>
      </c>
      <c r="O227">
        <v>857</v>
      </c>
      <c r="P227" s="73">
        <f>UninsuredTable[[#This Row],[Alternate Adj Total Uninsured]]*(UninsuredTable[[#This Row],[200 to 399% of FPL - No Health Insurance]]/UninsuredTable[[#This Row],[Total Uninsured Population]])</f>
        <v>626.26958978900234</v>
      </c>
      <c r="Q227">
        <v>19751</v>
      </c>
      <c r="R227">
        <v>432</v>
      </c>
      <c r="S227" s="73">
        <f>UninsuredTable[[#This Row],[Alternate Adj Total Uninsured]]*(UninsuredTable[[#This Row],[400% FPL and over - No Health Insurance]]/UninsuredTable[[#This Row],[Total Uninsured Population]])</f>
        <v>315.6924886684352</v>
      </c>
    </row>
    <row r="228" spans="1:19" x14ac:dyDescent="0.3">
      <c r="A228" t="s">
        <v>1416</v>
      </c>
      <c r="B228" t="s">
        <v>1462</v>
      </c>
      <c r="D228">
        <f>SUBTOTAL(109,UninsuredTable[Total Population])</f>
        <v>5404575</v>
      </c>
      <c r="E228">
        <f>SUBTOTAL(109,UninsuredTable[Total Uninsured Population])</f>
        <v>410966</v>
      </c>
      <c r="F228">
        <f>SUBTOTAL(109,UninsuredTable[Adjusted Total Uninsured])</f>
        <v>223216.8000000001</v>
      </c>
      <c r="G228" s="73">
        <f>SUBTOTAL(109,UninsuredTable[Alternate Adj Total Uninsured])</f>
        <v>258081.72926933673</v>
      </c>
      <c r="H228" s="28">
        <f>SUBTOTAL(109,UninsuredTable[Below 138% of FPL])</f>
        <v>787918</v>
      </c>
      <c r="I228">
        <f>SUBTOTAL(109,UninsuredTable[Below 138% of FPL - No Health Insurance])</f>
        <v>110745</v>
      </c>
      <c r="J228" s="73">
        <f>SUBTOTAL(109,UninsuredTable[Adjusted Below 138% of FPL - No Health Insurance])</f>
        <v>69266.713094892912</v>
      </c>
      <c r="K228">
        <f>SUBTOTAL(109,UninsuredTable[138 to 199% of FPL])</f>
        <v>461398</v>
      </c>
      <c r="L228">
        <f>SUBTOTAL(109,UninsuredTable[138% to 199% - No Health Insurance])</f>
        <v>67864</v>
      </c>
      <c r="M228" s="73">
        <f>SUBTOTAL(109,UninsuredTable[Adjusted 138% to 199% - No Health Insurance])</f>
        <v>41079.241539583294</v>
      </c>
      <c r="N228">
        <f>SUBTOTAL(109,UninsuredTable[200 to 399% of FPL])</f>
        <v>1409490</v>
      </c>
      <c r="O228">
        <f>SUBTOTAL(109,UninsuredTable[200 to 399% of FPL - No Health Insurance])</f>
        <v>142969</v>
      </c>
      <c r="P228" s="73">
        <f>SUBTOTAL(109,UninsuredTable[Adjusted 200 to 399% of FPL - No Health Insurance])</f>
        <v>88240.567609604754</v>
      </c>
      <c r="Q228">
        <f>SUBTOTAL(109,UninsuredTable[400% FPL and over])</f>
        <v>2745769</v>
      </c>
      <c r="R228">
        <f>SUBTOTAL(109,UninsuredTable[400% FPL and over - No Health Insurance])</f>
        <v>89388</v>
      </c>
      <c r="S228" s="73">
        <f>SUBTOTAL(109,UninsuredTable[Adjusted 400% FPL and over - No Health Insurance])</f>
        <v>59495.207025255702</v>
      </c>
    </row>
    <row r="229" spans="1:19" ht="15" thickBot="1" x14ac:dyDescent="0.35"/>
    <row r="230" spans="1:19" ht="15" thickBot="1" x14ac:dyDescent="0.35">
      <c r="C230" s="104" t="s">
        <v>1546</v>
      </c>
      <c r="D230" s="105"/>
      <c r="E230" s="106">
        <f>(RemovedLT50UninsTbl[[#Totals],[Total Uninsured Population]]+RemovedGT30RSEUninsTbl[[#Totals],[Total Uninsured Population]])/SUM(BaseTable[[#Totals],[Below 138% of FPL - Under 19 years - No Health Insurance]],BaseTable[[#Totals],[Below 138% of FPL - 19 to 64 years - No Health Insurance]],BaseTable[[#Totals],[Below 138% of FPL - 65 years and over - No Health Insurance]],BaseTable[[#Totals],[138 to 199% of FPL - Under 19 years - No health insurance coverage]],BaseTable[[#Totals],[138 to 199% of FPL - 19 to 64 years - No health insurance]],BaseTable[[#Totals],[138 to 199% of FPL - 65 years and over - No health insurance]],BaseTable[[#Totals],[200 to 399% of FPL - Under 19 years - No health insurance]],BaseTable[[#Totals],[200 to 399% of FPL - 19 to 64 years - No health insurance]],BaseTable[[#Totals],[200 to 399% of FPL - 65 years and over - No health insurance]],BaseTable[[#Totals],[400% FPL and over - Under 19 years - No health insurance]],BaseTable[[#Totals],[400% FPL and over - 19 to 64 years - No health insurance]],BaseTable[[#Totals],[400% FPL and over - 65 years and over - No health insurance]])</f>
        <v>3.905201586175619E-2</v>
      </c>
    </row>
  </sheetData>
  <mergeCells count="2">
    <mergeCell ref="A1:C1"/>
    <mergeCell ref="D1:I1"/>
  </mergeCells>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26"/>
  <sheetViews>
    <sheetView workbookViewId="0">
      <pane xSplit="3" ySplit="2" topLeftCell="H3" activePane="bottomRight" state="frozen"/>
      <selection pane="topRight" activeCell="D1" sqref="D1"/>
      <selection pane="bottomLeft" activeCell="A3" sqref="A3"/>
      <selection pane="bottomRight" activeCell="S225" sqref="S3:S225"/>
    </sheetView>
  </sheetViews>
  <sheetFormatPr defaultColWidth="8.88671875" defaultRowHeight="14.4" x14ac:dyDescent="0.3"/>
  <cols>
    <col min="1" max="1" width="14.77734375" customWidth="1"/>
    <col min="2" max="2" width="26.5546875" customWidth="1"/>
    <col min="3" max="3" width="13.21875" bestFit="1" customWidth="1"/>
    <col min="4" max="4" width="18.88671875" style="57" bestFit="1" customWidth="1"/>
    <col min="5" max="5" width="16.44140625" style="95" bestFit="1" customWidth="1"/>
    <col min="6" max="6" width="15" style="56" bestFit="1" customWidth="1"/>
    <col min="7" max="7" width="19" bestFit="1" customWidth="1"/>
    <col min="8" max="8" width="16.5546875" style="95" bestFit="1" customWidth="1"/>
    <col min="9" max="9" width="15" bestFit="1" customWidth="1"/>
    <col min="10" max="10" width="19" style="56" bestFit="1" customWidth="1"/>
    <col min="11" max="11" width="16.5546875" style="73" bestFit="1" customWidth="1"/>
    <col min="12" max="12" width="14.77734375" bestFit="1" customWidth="1"/>
    <col min="13" max="13" width="20.21875" bestFit="1" customWidth="1"/>
    <col min="14" max="14" width="15.77734375" style="73" bestFit="1" customWidth="1"/>
    <col min="15" max="15" width="14.6640625" bestFit="1" customWidth="1"/>
    <col min="16" max="16" width="7.44140625" bestFit="1" customWidth="1"/>
    <col min="17" max="17" width="13.109375" bestFit="1" customWidth="1"/>
    <col min="18" max="18" width="11.44140625" bestFit="1" customWidth="1"/>
    <col min="19" max="19" width="11" bestFit="1" customWidth="1"/>
    <col min="20" max="81" width="8.88671875" customWidth="1"/>
  </cols>
  <sheetData>
    <row r="1" spans="1:22" ht="84.6" customHeight="1" x14ac:dyDescent="0.3">
      <c r="A1" s="127" t="s">
        <v>1503</v>
      </c>
      <c r="B1" s="127"/>
      <c r="C1" s="127"/>
      <c r="D1" s="128" t="s">
        <v>1518</v>
      </c>
      <c r="E1" s="128"/>
      <c r="F1" s="128"/>
      <c r="G1" s="128"/>
      <c r="H1" s="128"/>
      <c r="I1" s="128"/>
      <c r="J1" s="128"/>
      <c r="K1" s="97"/>
      <c r="L1" s="72"/>
      <c r="M1" s="72"/>
      <c r="N1" s="97"/>
    </row>
    <row r="2" spans="1:22" ht="52.2" customHeight="1" x14ac:dyDescent="0.3">
      <c r="A2" s="68" t="s">
        <v>1406</v>
      </c>
      <c r="B2" s="58" t="s">
        <v>986</v>
      </c>
      <c r="C2" s="58" t="s">
        <v>987</v>
      </c>
      <c r="D2" s="58" t="s">
        <v>1495</v>
      </c>
      <c r="E2" s="92" t="s">
        <v>1537</v>
      </c>
      <c r="F2" s="69" t="s">
        <v>1496</v>
      </c>
      <c r="G2" s="58" t="s">
        <v>1497</v>
      </c>
      <c r="H2" s="98" t="s">
        <v>1538</v>
      </c>
      <c r="I2" s="69" t="s">
        <v>1498</v>
      </c>
      <c r="J2" s="58" t="s">
        <v>1499</v>
      </c>
      <c r="K2" s="98" t="s">
        <v>1540</v>
      </c>
      <c r="L2" s="69" t="s">
        <v>1500</v>
      </c>
      <c r="M2" s="58" t="s">
        <v>1501</v>
      </c>
      <c r="N2" s="98" t="s">
        <v>1539</v>
      </c>
      <c r="O2" s="69" t="s">
        <v>1502</v>
      </c>
      <c r="P2" s="59" t="s">
        <v>1416</v>
      </c>
      <c r="Q2" s="59" t="s">
        <v>1517</v>
      </c>
      <c r="R2" s="60" t="s">
        <v>1493</v>
      </c>
      <c r="S2" s="61" t="s">
        <v>1494</v>
      </c>
    </row>
    <row r="3" spans="1:22" x14ac:dyDescent="0.3">
      <c r="A3" s="62">
        <v>20601</v>
      </c>
      <c r="B3" s="63" t="str">
        <f>VLOOKUP(A3,ZipToCntyTbl[#All],2,0)</f>
        <v>Waldorf</v>
      </c>
      <c r="C3" s="63" t="str">
        <f>VLOOKUP(A3,ZipToCntyTbl[#All],3,0)</f>
        <v>Charles</v>
      </c>
      <c r="D3" s="63">
        <v>300</v>
      </c>
      <c r="E3" s="93">
        <f>UninsLT18to64[[#This Row],[Alternate Adj. Total]]*(UninsLT18to64[[#This Row],[Below 138% of FPL - Uninsured]]/UninsLT18to64[[#This Row],[Total]])</f>
        <v>193.207256417651</v>
      </c>
      <c r="F3" s="96">
        <v>246</v>
      </c>
      <c r="G3" s="63">
        <v>54</v>
      </c>
      <c r="H3" s="93">
        <f>UninsLT18to64[[#This Row],[Alternate Adj. Total]]*(UninsLT18to64[[#This Row],[138 to 199% of FPL - Uninsured]]/UninsLT18to64[[#This Row],[Total]])</f>
        <v>34.777306155177172</v>
      </c>
      <c r="I3" s="96">
        <v>52</v>
      </c>
      <c r="J3" s="63">
        <v>352</v>
      </c>
      <c r="K3" s="93">
        <f>UninsLT18to64[[#This Row],[Alternate Adj. Total]]*(UninsLT18to64[[#This Row],[200 to 399% of FPL - Uninsured]]/UninsLT18to64[[#This Row],[Total]])</f>
        <v>226.6965141967105</v>
      </c>
      <c r="L3" s="96">
        <v>212</v>
      </c>
      <c r="M3" s="63">
        <v>485</v>
      </c>
      <c r="N3" s="93">
        <f>UninsLT18to64[[#This Row],[Alternate Adj. Total]]*(UninsLT18to64[[#This Row],[400% FPL and over - Uninsured]]/UninsLT18to64[[#This Row],[Total]])</f>
        <v>312.35173120853574</v>
      </c>
      <c r="O3" s="96">
        <v>257</v>
      </c>
      <c r="P3" s="64">
        <f>SUM(UninsLT18to64[[#This Row],[Below 138% of FPL - Uninsured]]+UninsLT18to64[[#This Row],[138 to 199% of FPL - Uninsured]]+UninsLT18to64[[#This Row],[200 to 399% of FPL - Uninsured]]+UninsLT18to64[[#This Row],[400% FPL and over - Uninsured]])</f>
        <v>1191</v>
      </c>
      <c r="Q3" s="83">
        <v>6.1140900025509724E-2</v>
      </c>
      <c r="R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688</v>
      </c>
      <c r="S3" s="70">
        <f>IF(UninsLT18to64[[#This Row],[Total]]&lt;1000,UninsLT18to64[[#This Row],[Total]],MAX(VLOOKUP(UninsLT18to64[[#This Row],[ZIP Code]],IRSzipToCntyTbl[#All],3,0),(UninsLT18to64[[#This Row],[Total]]-(109811*(VLOOKUP(UninsLT18to64[[#This Row],[ZIP Code]],CitizenshipTbl[#All],4,0))))*0.8))</f>
        <v>767.0328079780744</v>
      </c>
      <c r="V3" s="84"/>
    </row>
    <row r="4" spans="1:22" x14ac:dyDescent="0.3">
      <c r="A4" s="62">
        <v>20602</v>
      </c>
      <c r="B4" s="63" t="str">
        <f>VLOOKUP(A4,ZipToCntyTbl[#All],2,0)</f>
        <v>Waldorf</v>
      </c>
      <c r="C4" s="63" t="str">
        <f>VLOOKUP(A4,ZipToCntyTbl[#All],3,0)</f>
        <v>Charles</v>
      </c>
      <c r="D4" s="63">
        <v>153</v>
      </c>
      <c r="E4" s="93">
        <f>UninsLT18to64[[#This Row],[Alternate Adj. Total]]*(UninsLT18to64[[#This Row],[Below 138% of FPL - Uninsured]]/UninsLT18to64[[#This Row],[Total]])</f>
        <v>153</v>
      </c>
      <c r="F4" s="96">
        <v>175</v>
      </c>
      <c r="G4" s="63">
        <v>71</v>
      </c>
      <c r="H4" s="93">
        <f>UninsLT18to64[[#This Row],[Alternate Adj. Total]]*(UninsLT18to64[[#This Row],[138 to 199% of FPL - Uninsured]]/UninsLT18to64[[#This Row],[Total]])</f>
        <v>71</v>
      </c>
      <c r="I4" s="96">
        <v>84</v>
      </c>
      <c r="J4" s="63">
        <v>429</v>
      </c>
      <c r="K4" s="93">
        <f>UninsLT18to64[[#This Row],[Alternate Adj. Total]]*(UninsLT18to64[[#This Row],[200 to 399% of FPL - Uninsured]]/UninsLT18to64[[#This Row],[Total]])</f>
        <v>429.00000000000006</v>
      </c>
      <c r="L4" s="96">
        <v>286</v>
      </c>
      <c r="M4" s="63">
        <v>145</v>
      </c>
      <c r="N4" s="93">
        <f>UninsLT18to64[[#This Row],[Alternate Adj. Total]]*(UninsLT18to64[[#This Row],[400% FPL and over - Uninsured]]/UninsLT18to64[[#This Row],[Total]])</f>
        <v>145</v>
      </c>
      <c r="O4" s="96">
        <v>80</v>
      </c>
      <c r="P4" s="64">
        <f>SUM(UninsLT18to64[[#This Row],[Below 138% of FPL - Uninsured]]+UninsLT18to64[[#This Row],[138 to 199% of FPL - Uninsured]]+UninsLT18to64[[#This Row],[200 to 399% of FPL - Uninsured]]+UninsLT18to64[[#This Row],[400% FPL and over - Uninsured]])</f>
        <v>798</v>
      </c>
      <c r="Q4" s="83">
        <v>9.1251644023035192E-2</v>
      </c>
      <c r="R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798</v>
      </c>
      <c r="S4" s="70">
        <f>IF(UninsLT18to64[[#This Row],[Total]]&lt;1000,UninsLT18to64[[#This Row],[Total]],MAX(VLOOKUP(UninsLT18to64[[#This Row],[ZIP Code]],IRSzipToCntyTbl[#All],3,0),(UninsLT18to64[[#This Row],[Total]]-(109811*(VLOOKUP(UninsLT18to64[[#This Row],[ZIP Code]],CitizenshipTbl[#All],4,0))))*0.8))</f>
        <v>798</v>
      </c>
      <c r="V4" s="71"/>
    </row>
    <row r="5" spans="1:22" x14ac:dyDescent="0.3">
      <c r="A5" s="62">
        <v>20603</v>
      </c>
      <c r="B5" s="63" t="str">
        <f>VLOOKUP(A5,ZipToCntyTbl[#All],2,0)</f>
        <v>Waldorf</v>
      </c>
      <c r="C5" s="63" t="str">
        <f>VLOOKUP(A5,ZipToCntyTbl[#All],3,0)</f>
        <v>Charles</v>
      </c>
      <c r="D5" s="63">
        <v>263</v>
      </c>
      <c r="E5" s="93">
        <f>UninsLT18to64[[#This Row],[Alternate Adj. Total]]*(UninsLT18to64[[#This Row],[Below 138% of FPL - Uninsured]]/UninsLT18to64[[#This Row],[Total]])</f>
        <v>177.91899831994252</v>
      </c>
      <c r="F5" s="96">
        <v>231</v>
      </c>
      <c r="G5" s="63">
        <v>75</v>
      </c>
      <c r="H5" s="93">
        <f>UninsLT18to64[[#This Row],[Alternate Adj. Total]]*(UninsLT18to64[[#This Row],[138 to 199% of FPL - Uninsured]]/UninsLT18to64[[#This Row],[Total]])</f>
        <v>50.737356935344827</v>
      </c>
      <c r="I5" s="96">
        <v>116</v>
      </c>
      <c r="J5" s="63">
        <v>316</v>
      </c>
      <c r="K5" s="93">
        <f>UninsLT18to64[[#This Row],[Alternate Adj. Total]]*(UninsLT18to64[[#This Row],[200 to 399% of FPL - Uninsured]]/UninsLT18to64[[#This Row],[Total]])</f>
        <v>213.77339722091952</v>
      </c>
      <c r="L5" s="96">
        <v>199</v>
      </c>
      <c r="M5" s="63">
        <v>423</v>
      </c>
      <c r="N5" s="93">
        <f>UninsLT18to64[[#This Row],[Alternate Adj. Total]]*(UninsLT18to64[[#This Row],[400% FPL and over - Uninsured]]/UninsLT18to64[[#This Row],[Total]])</f>
        <v>286.15869311534482</v>
      </c>
      <c r="O5" s="96">
        <v>211</v>
      </c>
      <c r="P5" s="64">
        <f>SUM(UninsLT18to64[[#This Row],[Below 138% of FPL - Uninsured]]+UninsLT18to64[[#This Row],[138 to 199% of FPL - Uninsured]]+UninsLT18to64[[#This Row],[200 to 399% of FPL - Uninsured]]+UninsLT18to64[[#This Row],[400% FPL and over - Uninsured]])</f>
        <v>1077</v>
      </c>
      <c r="Q5" s="83">
        <v>6.7612638746872872E-2</v>
      </c>
      <c r="R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672</v>
      </c>
      <c r="S5" s="70">
        <f>IF(UninsLT18to64[[#This Row],[Total]]&lt;1000,UninsLT18to64[[#This Row],[Total]],MAX(VLOOKUP(UninsLT18to64[[#This Row],[ZIP Code]],IRSzipToCntyTbl[#All],3,0),(UninsLT18to64[[#This Row],[Total]]-(109811*(VLOOKUP(UninsLT18to64[[#This Row],[ZIP Code]],CitizenshipTbl[#All],4,0))))*0.8))</f>
        <v>728.5884455915517</v>
      </c>
      <c r="V5" s="71"/>
    </row>
    <row r="6" spans="1:22" x14ac:dyDescent="0.3">
      <c r="A6" s="62">
        <v>20607</v>
      </c>
      <c r="B6" s="63" t="str">
        <f>VLOOKUP(A6,ZipToCntyTbl[#All],2,0)</f>
        <v>Accokeek</v>
      </c>
      <c r="C6" s="63" t="str">
        <f>VLOOKUP(A6,ZipToCntyTbl[#All],3,0)</f>
        <v>Prince Georges</v>
      </c>
      <c r="D6" s="63">
        <v>25</v>
      </c>
      <c r="E6" s="93">
        <f>UninsLT18to64[[#This Row],[Alternate Adj. Total]]*(UninsLT18to64[[#This Row],[Below 138% of FPL - Uninsured]]/UninsLT18to64[[#This Row],[Total]])</f>
        <v>25</v>
      </c>
      <c r="F6" s="96">
        <v>80</v>
      </c>
      <c r="G6" s="63">
        <v>0</v>
      </c>
      <c r="H6" s="93">
        <f>UninsLT18to64[[#This Row],[Alternate Adj. Total]]*(UninsLT18to64[[#This Row],[138 to 199% of FPL - Uninsured]]/UninsLT18to64[[#This Row],[Total]])</f>
        <v>0</v>
      </c>
      <c r="I6" s="96">
        <v>38</v>
      </c>
      <c r="J6" s="63">
        <v>141</v>
      </c>
      <c r="K6" s="93">
        <f>UninsLT18to64[[#This Row],[Alternate Adj. Total]]*(UninsLT18to64[[#This Row],[200 to 399% of FPL - Uninsured]]/UninsLT18to64[[#This Row],[Total]])</f>
        <v>141</v>
      </c>
      <c r="L6" s="96">
        <v>131</v>
      </c>
      <c r="M6" s="63">
        <v>248</v>
      </c>
      <c r="N6" s="93">
        <f>UninsLT18to64[[#This Row],[Alternate Adj. Total]]*(UninsLT18to64[[#This Row],[400% FPL and over - Uninsured]]/UninsLT18to64[[#This Row],[Total]])</f>
        <v>248</v>
      </c>
      <c r="O6" s="96">
        <v>183</v>
      </c>
      <c r="P6" s="64">
        <f>SUM(UninsLT18to64[[#This Row],[Below 138% of FPL - Uninsured]]+UninsLT18to64[[#This Row],[138 to 199% of FPL - Uninsured]]+UninsLT18to64[[#This Row],[200 to 399% of FPL - Uninsured]]+UninsLT18to64[[#This Row],[400% FPL and over - Uninsured]])</f>
        <v>414</v>
      </c>
      <c r="Q6" s="83">
        <v>0.17589085007338667</v>
      </c>
      <c r="R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414</v>
      </c>
      <c r="S6" s="70">
        <f>IF(UninsLT18to64[[#This Row],[Total]]&lt;1000,UninsLT18to64[[#This Row],[Total]],MAX(VLOOKUP(UninsLT18to64[[#This Row],[ZIP Code]],IRSzipToCntyTbl[#All],3,0),(UninsLT18to64[[#This Row],[Total]]-(109811*(VLOOKUP(UninsLT18to64[[#This Row],[ZIP Code]],CitizenshipTbl[#All],4,0))))*0.8))</f>
        <v>414</v>
      </c>
      <c r="V6" s="71"/>
    </row>
    <row r="7" spans="1:22" x14ac:dyDescent="0.3">
      <c r="A7" s="62">
        <v>20613</v>
      </c>
      <c r="B7" s="63" t="str">
        <f>VLOOKUP(A7,ZipToCntyTbl[#All],2,0)</f>
        <v>Brandywine</v>
      </c>
      <c r="C7" s="63" t="str">
        <f>VLOOKUP(A7,ZipToCntyTbl[#All],3,0)</f>
        <v>Prince Georges</v>
      </c>
      <c r="D7" s="63">
        <v>234</v>
      </c>
      <c r="E7" s="93">
        <f>UninsLT18to64[[#This Row],[Alternate Adj. Total]]*(UninsLT18to64[[#This Row],[Below 138% of FPL - Uninsured]]/UninsLT18to64[[#This Row],[Total]])</f>
        <v>234</v>
      </c>
      <c r="F7" s="96">
        <v>257</v>
      </c>
      <c r="G7" s="63">
        <v>109</v>
      </c>
      <c r="H7" s="93">
        <f>UninsLT18to64[[#This Row],[Alternate Adj. Total]]*(UninsLT18to64[[#This Row],[138 to 199% of FPL - Uninsured]]/UninsLT18to64[[#This Row],[Total]])</f>
        <v>109</v>
      </c>
      <c r="I7" s="96">
        <v>115</v>
      </c>
      <c r="J7" s="63">
        <v>229</v>
      </c>
      <c r="K7" s="93">
        <f>UninsLT18to64[[#This Row],[Alternate Adj. Total]]*(UninsLT18to64[[#This Row],[200 to 399% of FPL - Uninsured]]/UninsLT18to64[[#This Row],[Total]])</f>
        <v>229</v>
      </c>
      <c r="L7" s="96">
        <v>125</v>
      </c>
      <c r="M7" s="63">
        <v>232</v>
      </c>
      <c r="N7" s="93">
        <f>UninsLT18to64[[#This Row],[Alternate Adj. Total]]*(UninsLT18to64[[#This Row],[400% FPL and over - Uninsured]]/UninsLT18to64[[#This Row],[Total]])</f>
        <v>232.00000000000003</v>
      </c>
      <c r="O7" s="96">
        <v>179</v>
      </c>
      <c r="P7" s="64">
        <f>SUM(UninsLT18to64[[#This Row],[Below 138% of FPL - Uninsured]]+UninsLT18to64[[#This Row],[138 to 199% of FPL - Uninsured]]+UninsLT18to64[[#This Row],[200 to 399% of FPL - Uninsured]]+UninsLT18to64[[#This Row],[400% FPL and over - Uninsured]])</f>
        <v>804</v>
      </c>
      <c r="Q7" s="83">
        <v>9.0570661604952835E-2</v>
      </c>
      <c r="R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804</v>
      </c>
      <c r="S7" s="70">
        <f>IF(UninsLT18to64[[#This Row],[Total]]&lt;1000,UninsLT18to64[[#This Row],[Total]],MAX(VLOOKUP(UninsLT18to64[[#This Row],[ZIP Code]],IRSzipToCntyTbl[#All],3,0),(UninsLT18to64[[#This Row],[Total]]-(109811*(VLOOKUP(UninsLT18to64[[#This Row],[ZIP Code]],CitizenshipTbl[#All],4,0))))*0.8))</f>
        <v>804</v>
      </c>
      <c r="V7" s="71"/>
    </row>
    <row r="8" spans="1:22" x14ac:dyDescent="0.3">
      <c r="A8" s="62">
        <v>20616</v>
      </c>
      <c r="B8" s="63" t="str">
        <f>VLOOKUP(A8,ZipToCntyTbl[#All],2,0)</f>
        <v>Bryans Road</v>
      </c>
      <c r="C8" s="63" t="str">
        <f>VLOOKUP(A8,ZipToCntyTbl[#All],3,0)</f>
        <v>Charles</v>
      </c>
      <c r="D8" s="63">
        <v>99</v>
      </c>
      <c r="E8" s="93">
        <f>UninsLT18to64[[#This Row],[Alternate Adj. Total]]*(UninsLT18to64[[#This Row],[Below 138% of FPL - Uninsured]]/UninsLT18to64[[#This Row],[Total]])</f>
        <v>99</v>
      </c>
      <c r="F8" s="96">
        <v>129</v>
      </c>
      <c r="G8" s="63">
        <v>21</v>
      </c>
      <c r="H8" s="93">
        <f>UninsLT18to64[[#This Row],[Alternate Adj. Total]]*(UninsLT18to64[[#This Row],[138 to 199% of FPL - Uninsured]]/UninsLT18to64[[#This Row],[Total]])</f>
        <v>21</v>
      </c>
      <c r="I8" s="96">
        <v>50</v>
      </c>
      <c r="J8" s="63">
        <v>89</v>
      </c>
      <c r="K8" s="93">
        <f>UninsLT18to64[[#This Row],[Alternate Adj. Total]]*(UninsLT18to64[[#This Row],[200 to 399% of FPL - Uninsured]]/UninsLT18to64[[#This Row],[Total]])</f>
        <v>89</v>
      </c>
      <c r="L8" s="96">
        <v>117</v>
      </c>
      <c r="M8" s="63">
        <v>174</v>
      </c>
      <c r="N8" s="93">
        <f>UninsLT18to64[[#This Row],[Alternate Adj. Total]]*(UninsLT18to64[[#This Row],[400% FPL and over - Uninsured]]/UninsLT18to64[[#This Row],[Total]])</f>
        <v>174</v>
      </c>
      <c r="O8" s="96">
        <v>173</v>
      </c>
      <c r="P8" s="64">
        <f>SUM(UninsLT18to64[[#This Row],[Below 138% of FPL - Uninsured]]+UninsLT18to64[[#This Row],[138 to 199% of FPL - Uninsured]]+UninsLT18to64[[#This Row],[200 to 399% of FPL - Uninsured]]+UninsLT18to64[[#This Row],[400% FPL and over - Uninsured]])</f>
        <v>383</v>
      </c>
      <c r="Q8" s="83">
        <v>0.19012744629342582</v>
      </c>
      <c r="R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383</v>
      </c>
      <c r="S8" s="70">
        <f>IF(UninsLT18to64[[#This Row],[Total]]&lt;1000,UninsLT18to64[[#This Row],[Total]],MAX(VLOOKUP(UninsLT18to64[[#This Row],[ZIP Code]],IRSzipToCntyTbl[#All],3,0),(UninsLT18to64[[#This Row],[Total]]-(109811*(VLOOKUP(UninsLT18to64[[#This Row],[ZIP Code]],CitizenshipTbl[#All],4,0))))*0.8))</f>
        <v>383</v>
      </c>
      <c r="V8" s="71"/>
    </row>
    <row r="9" spans="1:22" x14ac:dyDescent="0.3">
      <c r="A9" s="62">
        <v>20619</v>
      </c>
      <c r="B9" s="63" t="str">
        <f>VLOOKUP(A9,ZipToCntyTbl[#All],2,0)</f>
        <v>California</v>
      </c>
      <c r="C9" s="63" t="str">
        <f>VLOOKUP(A9,ZipToCntyTbl[#All],3,0)</f>
        <v>Saint Marys</v>
      </c>
      <c r="D9" s="63">
        <v>283</v>
      </c>
      <c r="E9" s="93">
        <f>UninsLT18to64[[#This Row],[Alternate Adj. Total]]*(UninsLT18to64[[#This Row],[Below 138% of FPL - Uninsured]]/UninsLT18to64[[#This Row],[Total]])</f>
        <v>283</v>
      </c>
      <c r="F9" s="96">
        <v>390</v>
      </c>
      <c r="G9" s="63">
        <v>35</v>
      </c>
      <c r="H9" s="93">
        <f>UninsLT18to64[[#This Row],[Alternate Adj. Total]]*(UninsLT18to64[[#This Row],[138 to 199% of FPL - Uninsured]]/UninsLT18to64[[#This Row],[Total]])</f>
        <v>35</v>
      </c>
      <c r="I9" s="96">
        <v>67</v>
      </c>
      <c r="J9" s="63">
        <v>95</v>
      </c>
      <c r="K9" s="93">
        <f>UninsLT18to64[[#This Row],[Alternate Adj. Total]]*(UninsLT18to64[[#This Row],[200 to 399% of FPL - Uninsured]]/UninsLT18to64[[#This Row],[Total]])</f>
        <v>95</v>
      </c>
      <c r="L9" s="96">
        <v>115</v>
      </c>
      <c r="M9" s="63">
        <v>149</v>
      </c>
      <c r="N9" s="93">
        <f>UninsLT18to64[[#This Row],[Alternate Adj. Total]]*(UninsLT18to64[[#This Row],[400% FPL and over - Uninsured]]/UninsLT18to64[[#This Row],[Total]])</f>
        <v>149</v>
      </c>
      <c r="O9" s="96">
        <v>111</v>
      </c>
      <c r="P9" s="64">
        <f>SUM(UninsLT18to64[[#This Row],[Below 138% of FPL - Uninsured]]+UninsLT18to64[[#This Row],[138 to 199% of FPL - Uninsured]]+UninsLT18to64[[#This Row],[200 to 399% of FPL - Uninsured]]+UninsLT18to64[[#This Row],[400% FPL and over - Uninsured]])</f>
        <v>562</v>
      </c>
      <c r="Q9" s="83">
        <v>0.12957083973377595</v>
      </c>
      <c r="R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562</v>
      </c>
      <c r="S9" s="70">
        <f>IF(UninsLT18to64[[#This Row],[Total]]&lt;1000,UninsLT18to64[[#This Row],[Total]],MAX(VLOOKUP(UninsLT18to64[[#This Row],[ZIP Code]],IRSzipToCntyTbl[#All],3,0),(UninsLT18to64[[#This Row],[Total]]-(109811*(VLOOKUP(UninsLT18to64[[#This Row],[ZIP Code]],CitizenshipTbl[#All],4,0))))*0.8))</f>
        <v>562</v>
      </c>
      <c r="V9" s="71"/>
    </row>
    <row r="10" spans="1:22" x14ac:dyDescent="0.3">
      <c r="A10" s="62">
        <v>20622</v>
      </c>
      <c r="B10" s="63" t="str">
        <f>VLOOKUP(A10,ZipToCntyTbl[#All],2,0)</f>
        <v>Charlotte Hall</v>
      </c>
      <c r="C10" s="63" t="str">
        <f>VLOOKUP(A10,ZipToCntyTbl[#All],3,0)</f>
        <v>Saint Marys</v>
      </c>
      <c r="D10" s="63">
        <v>159</v>
      </c>
      <c r="E10" s="93">
        <f>UninsLT18to64[[#This Row],[Alternate Adj. Total]]*(UninsLT18to64[[#This Row],[Below 138% of FPL - Uninsured]]/UninsLT18to64[[#This Row],[Total]])</f>
        <v>159</v>
      </c>
      <c r="F10" s="96">
        <v>231</v>
      </c>
      <c r="G10" s="63">
        <v>0</v>
      </c>
      <c r="H10" s="93">
        <f>UninsLT18to64[[#This Row],[Alternate Adj. Total]]*(UninsLT18to64[[#This Row],[138 to 199% of FPL - Uninsured]]/UninsLT18to64[[#This Row],[Total]])</f>
        <v>0</v>
      </c>
      <c r="I10" s="96">
        <v>34</v>
      </c>
      <c r="J10" s="63">
        <v>409</v>
      </c>
      <c r="K10" s="93">
        <f>UninsLT18to64[[#This Row],[Alternate Adj. Total]]*(UninsLT18to64[[#This Row],[200 to 399% of FPL - Uninsured]]/UninsLT18to64[[#This Row],[Total]])</f>
        <v>409</v>
      </c>
      <c r="L10" s="96">
        <v>558</v>
      </c>
      <c r="M10" s="63">
        <v>131</v>
      </c>
      <c r="N10" s="93">
        <f>UninsLT18to64[[#This Row],[Alternate Adj. Total]]*(UninsLT18to64[[#This Row],[400% FPL and over - Uninsured]]/UninsLT18to64[[#This Row],[Total]])</f>
        <v>131</v>
      </c>
      <c r="O10" s="96">
        <v>114</v>
      </c>
      <c r="P10" s="64">
        <f>SUM(UninsLT18to64[[#This Row],[Below 138% of FPL - Uninsured]]+UninsLT18to64[[#This Row],[138 to 199% of FPL - Uninsured]]+UninsLT18to64[[#This Row],[200 to 399% of FPL - Uninsured]]+UninsLT18to64[[#This Row],[400% FPL and over - Uninsured]])</f>
        <v>699</v>
      </c>
      <c r="Q10" s="83">
        <v>0.10417569660998867</v>
      </c>
      <c r="R1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699</v>
      </c>
      <c r="S10" s="70">
        <f>IF(UninsLT18to64[[#This Row],[Total]]&lt;1000,UninsLT18to64[[#This Row],[Total]],MAX(VLOOKUP(UninsLT18to64[[#This Row],[ZIP Code]],IRSzipToCntyTbl[#All],3,0),(UninsLT18to64[[#This Row],[Total]]-(109811*(VLOOKUP(UninsLT18to64[[#This Row],[ZIP Code]],CitizenshipTbl[#All],4,0))))*0.8))</f>
        <v>699</v>
      </c>
      <c r="V10" s="71"/>
    </row>
    <row r="11" spans="1:22" x14ac:dyDescent="0.3">
      <c r="A11" s="62">
        <v>20634</v>
      </c>
      <c r="B11" s="63" t="str">
        <f>VLOOKUP(A11,ZipToCntyTbl[#All],2,0)</f>
        <v>Great Mills</v>
      </c>
      <c r="C11" s="63" t="str">
        <f>VLOOKUP(A11,ZipToCntyTbl[#All],3,0)</f>
        <v>Saint Marys</v>
      </c>
      <c r="D11" s="63">
        <v>97</v>
      </c>
      <c r="E11" s="93">
        <f>UninsLT18to64[[#This Row],[Alternate Adj. Total]]*(UninsLT18to64[[#This Row],[Below 138% of FPL - Uninsured]]/UninsLT18to64[[#This Row],[Total]])</f>
        <v>97</v>
      </c>
      <c r="F11" s="96">
        <v>144</v>
      </c>
      <c r="G11" s="63">
        <v>0</v>
      </c>
      <c r="H11" s="93">
        <f>UninsLT18to64[[#This Row],[Alternate Adj. Total]]*(UninsLT18to64[[#This Row],[138 to 199% of FPL - Uninsured]]/UninsLT18to64[[#This Row],[Total]])</f>
        <v>0</v>
      </c>
      <c r="I11" s="96">
        <v>34</v>
      </c>
      <c r="J11" s="63">
        <v>314</v>
      </c>
      <c r="K11" s="93">
        <f>UninsLT18to64[[#This Row],[Alternate Adj. Total]]*(UninsLT18to64[[#This Row],[200 to 399% of FPL - Uninsured]]/UninsLT18to64[[#This Row],[Total]])</f>
        <v>314</v>
      </c>
      <c r="L11" s="96">
        <v>258</v>
      </c>
      <c r="M11" s="63">
        <v>87</v>
      </c>
      <c r="N11" s="93">
        <f>UninsLT18to64[[#This Row],[Alternate Adj. Total]]*(UninsLT18to64[[#This Row],[400% FPL and over - Uninsured]]/UninsLT18to64[[#This Row],[Total]])</f>
        <v>87</v>
      </c>
      <c r="O11" s="96">
        <v>132</v>
      </c>
      <c r="P11" s="64">
        <f>SUM(UninsLT18to64[[#This Row],[Below 138% of FPL - Uninsured]]+UninsLT18to64[[#This Row],[138 to 199% of FPL - Uninsured]]+UninsLT18to64[[#This Row],[200 to 399% of FPL - Uninsured]]+UninsLT18to64[[#This Row],[400% FPL and over - Uninsured]])</f>
        <v>498</v>
      </c>
      <c r="Q11" s="83">
        <v>0.14622251391642987</v>
      </c>
      <c r="R1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498</v>
      </c>
      <c r="S11" s="70">
        <f>IF(UninsLT18to64[[#This Row],[Total]]&lt;1000,UninsLT18to64[[#This Row],[Total]],MAX(VLOOKUP(UninsLT18to64[[#This Row],[ZIP Code]],IRSzipToCntyTbl[#All],3,0),(UninsLT18to64[[#This Row],[Total]]-(109811*(VLOOKUP(UninsLT18to64[[#This Row],[ZIP Code]],CitizenshipTbl[#All],4,0))))*0.8))</f>
        <v>498</v>
      </c>
      <c r="V11" s="71"/>
    </row>
    <row r="12" spans="1:22" x14ac:dyDescent="0.3">
      <c r="A12" s="62">
        <v>20636</v>
      </c>
      <c r="B12" s="63" t="str">
        <f>VLOOKUP(A12,ZipToCntyTbl[#All],2,0)</f>
        <v>Hollywood</v>
      </c>
      <c r="C12" s="63" t="str">
        <f>VLOOKUP(A12,ZipToCntyTbl[#All],3,0)</f>
        <v>Saint Marys</v>
      </c>
      <c r="D12" s="63">
        <v>0</v>
      </c>
      <c r="E12" s="93">
        <f>UninsLT18to64[[#This Row],[Alternate Adj. Total]]*(UninsLT18to64[[#This Row],[Below 138% of FPL - Uninsured]]/UninsLT18to64[[#This Row],[Total]])</f>
        <v>0</v>
      </c>
      <c r="F12" s="96">
        <v>76</v>
      </c>
      <c r="G12" s="63">
        <v>75</v>
      </c>
      <c r="H12" s="93">
        <f>UninsLT18to64[[#This Row],[Alternate Adj. Total]]*(UninsLT18to64[[#This Row],[138 to 199% of FPL - Uninsured]]/UninsLT18to64[[#This Row],[Total]])</f>
        <v>75</v>
      </c>
      <c r="I12" s="96">
        <v>110</v>
      </c>
      <c r="J12" s="63">
        <v>207</v>
      </c>
      <c r="K12" s="93">
        <f>UninsLT18to64[[#This Row],[Alternate Adj. Total]]*(UninsLT18to64[[#This Row],[200 to 399% of FPL - Uninsured]]/UninsLT18to64[[#This Row],[Total]])</f>
        <v>207</v>
      </c>
      <c r="L12" s="96">
        <v>203</v>
      </c>
      <c r="M12" s="63">
        <v>44</v>
      </c>
      <c r="N12" s="93">
        <f>UninsLT18to64[[#This Row],[Alternate Adj. Total]]*(UninsLT18to64[[#This Row],[400% FPL and over - Uninsured]]/UninsLT18to64[[#This Row],[Total]])</f>
        <v>44</v>
      </c>
      <c r="O12" s="96">
        <v>69</v>
      </c>
      <c r="P12" s="64">
        <f>SUM(UninsLT18to64[[#This Row],[Below 138% of FPL - Uninsured]]+UninsLT18to64[[#This Row],[138 to 199% of FPL - Uninsured]]+UninsLT18to64[[#This Row],[200 to 399% of FPL - Uninsured]]+UninsLT18to64[[#This Row],[400% FPL and over - Uninsured]])</f>
        <v>326</v>
      </c>
      <c r="Q12" s="83">
        <v>0.22337058874350332</v>
      </c>
      <c r="R1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326</v>
      </c>
      <c r="S12" s="70">
        <f>IF(UninsLT18to64[[#This Row],[Total]]&lt;1000,UninsLT18to64[[#This Row],[Total]],MAX(VLOOKUP(UninsLT18to64[[#This Row],[ZIP Code]],IRSzipToCntyTbl[#All],3,0),(UninsLT18to64[[#This Row],[Total]]-(109811*(VLOOKUP(UninsLT18to64[[#This Row],[ZIP Code]],CitizenshipTbl[#All],4,0))))*0.8))</f>
        <v>326</v>
      </c>
      <c r="V12" s="71"/>
    </row>
    <row r="13" spans="1:22" x14ac:dyDescent="0.3">
      <c r="A13" s="62">
        <v>20639</v>
      </c>
      <c r="B13" s="63" t="str">
        <f>VLOOKUP(A13,ZipToCntyTbl[#All],2,0)</f>
        <v>Huntingtown</v>
      </c>
      <c r="C13" s="63" t="str">
        <f>VLOOKUP(A13,ZipToCntyTbl[#All],3,0)</f>
        <v>Calvert</v>
      </c>
      <c r="D13" s="63">
        <v>114</v>
      </c>
      <c r="E13" s="93">
        <f>UninsLT18to64[[#This Row],[Alternate Adj. Total]]*(UninsLT18to64[[#This Row],[Below 138% of FPL - Uninsured]]/UninsLT18to64[[#This Row],[Total]])</f>
        <v>114</v>
      </c>
      <c r="F13" s="96">
        <v>171</v>
      </c>
      <c r="G13" s="63">
        <v>83</v>
      </c>
      <c r="H13" s="93">
        <f>UninsLT18to64[[#This Row],[Alternate Adj. Total]]*(UninsLT18to64[[#This Row],[138 to 199% of FPL - Uninsured]]/UninsLT18to64[[#This Row],[Total]])</f>
        <v>83</v>
      </c>
      <c r="I13" s="96">
        <v>114</v>
      </c>
      <c r="J13" s="63">
        <v>370</v>
      </c>
      <c r="K13" s="93">
        <f>UninsLT18to64[[#This Row],[Alternate Adj. Total]]*(UninsLT18to64[[#This Row],[200 to 399% of FPL - Uninsured]]/UninsLT18to64[[#This Row],[Total]])</f>
        <v>370</v>
      </c>
      <c r="L13" s="96">
        <v>368</v>
      </c>
      <c r="M13" s="63">
        <v>217</v>
      </c>
      <c r="N13" s="93">
        <f>UninsLT18to64[[#This Row],[Alternate Adj. Total]]*(UninsLT18to64[[#This Row],[400% FPL and over - Uninsured]]/UninsLT18to64[[#This Row],[Total]])</f>
        <v>217</v>
      </c>
      <c r="O13" s="96">
        <v>144</v>
      </c>
      <c r="P13" s="64">
        <f>SUM(UninsLT18to64[[#This Row],[Below 138% of FPL - Uninsured]]+UninsLT18to64[[#This Row],[138 to 199% of FPL - Uninsured]]+UninsLT18to64[[#This Row],[200 to 399% of FPL - Uninsured]]+UninsLT18to64[[#This Row],[400% FPL and over - Uninsured]])</f>
        <v>784</v>
      </c>
      <c r="Q13" s="83">
        <v>9.2881137666303681E-2</v>
      </c>
      <c r="R1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784</v>
      </c>
      <c r="S13" s="70">
        <f>IF(UninsLT18to64[[#This Row],[Total]]&lt;1000,UninsLT18to64[[#This Row],[Total]],MAX(VLOOKUP(UninsLT18to64[[#This Row],[ZIP Code]],IRSzipToCntyTbl[#All],3,0),(UninsLT18to64[[#This Row],[Total]]-(109811*(VLOOKUP(UninsLT18to64[[#This Row],[ZIP Code]],CitizenshipTbl[#All],4,0))))*0.8))</f>
        <v>784</v>
      </c>
      <c r="V13" s="71"/>
    </row>
    <row r="14" spans="1:22" x14ac:dyDescent="0.3">
      <c r="A14" s="62">
        <v>20640</v>
      </c>
      <c r="B14" s="63" t="str">
        <f>VLOOKUP(A14,ZipToCntyTbl[#All],2,0)</f>
        <v>Indian Head</v>
      </c>
      <c r="C14" s="63" t="str">
        <f>VLOOKUP(A14,ZipToCntyTbl[#All],3,0)</f>
        <v>Charles</v>
      </c>
      <c r="D14" s="63">
        <v>155</v>
      </c>
      <c r="E14" s="93">
        <f>UninsLT18to64[[#This Row],[Alternate Adj. Total]]*(UninsLT18to64[[#This Row],[Below 138% of FPL - Uninsured]]/UninsLT18to64[[#This Row],[Total]])</f>
        <v>155</v>
      </c>
      <c r="F14" s="96">
        <v>140</v>
      </c>
      <c r="G14" s="63">
        <v>88</v>
      </c>
      <c r="H14" s="93">
        <f>UninsLT18to64[[#This Row],[Alternate Adj. Total]]*(UninsLT18to64[[#This Row],[138 to 199% of FPL - Uninsured]]/UninsLT18to64[[#This Row],[Total]])</f>
        <v>88</v>
      </c>
      <c r="I14" s="96">
        <v>68</v>
      </c>
      <c r="J14" s="63">
        <v>132</v>
      </c>
      <c r="K14" s="93">
        <f>UninsLT18to64[[#This Row],[Alternate Adj. Total]]*(UninsLT18to64[[#This Row],[200 to 399% of FPL - Uninsured]]/UninsLT18to64[[#This Row],[Total]])</f>
        <v>132</v>
      </c>
      <c r="L14" s="96">
        <v>89</v>
      </c>
      <c r="M14" s="63">
        <v>133</v>
      </c>
      <c r="N14" s="93">
        <f>UninsLT18to64[[#This Row],[Alternate Adj. Total]]*(UninsLT18to64[[#This Row],[400% FPL and over - Uninsured]]/UninsLT18to64[[#This Row],[Total]])</f>
        <v>133</v>
      </c>
      <c r="O14" s="96">
        <v>84</v>
      </c>
      <c r="P14" s="64">
        <f>SUM(UninsLT18to64[[#This Row],[Below 138% of FPL - Uninsured]]+UninsLT18to64[[#This Row],[138 to 199% of FPL - Uninsured]]+UninsLT18to64[[#This Row],[200 to 399% of FPL - Uninsured]]+UninsLT18to64[[#This Row],[400% FPL and over - Uninsured]])</f>
        <v>508</v>
      </c>
      <c r="Q14" s="83">
        <v>0.14334411797319307</v>
      </c>
      <c r="R1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508</v>
      </c>
      <c r="S14" s="70">
        <f>IF(UninsLT18to64[[#This Row],[Total]]&lt;1000,UninsLT18to64[[#This Row],[Total]],MAX(VLOOKUP(UninsLT18to64[[#This Row],[ZIP Code]],IRSzipToCntyTbl[#All],3,0),(UninsLT18to64[[#This Row],[Total]]-(109811*(VLOOKUP(UninsLT18to64[[#This Row],[ZIP Code]],CitizenshipTbl[#All],4,0))))*0.8))</f>
        <v>508</v>
      </c>
      <c r="V14" s="71"/>
    </row>
    <row r="15" spans="1:22" x14ac:dyDescent="0.3">
      <c r="A15" s="62">
        <v>20646</v>
      </c>
      <c r="B15" s="63" t="str">
        <f>VLOOKUP(A15,ZipToCntyTbl[#All],2,0)</f>
        <v>La Plata</v>
      </c>
      <c r="C15" s="63" t="str">
        <f>VLOOKUP(A15,ZipToCntyTbl[#All],3,0)</f>
        <v>Charles</v>
      </c>
      <c r="D15" s="63">
        <v>79</v>
      </c>
      <c r="E15" s="93">
        <f>UninsLT18to64[[#This Row],[Alternate Adj. Total]]*(UninsLT18to64[[#This Row],[Below 138% of FPL - Uninsured]]/UninsLT18to64[[#This Row],[Total]])</f>
        <v>79</v>
      </c>
      <c r="F15" s="96">
        <v>124</v>
      </c>
      <c r="G15" s="63">
        <v>202</v>
      </c>
      <c r="H15" s="93">
        <f>UninsLT18to64[[#This Row],[Alternate Adj. Total]]*(UninsLT18to64[[#This Row],[138 to 199% of FPL - Uninsured]]/UninsLT18to64[[#This Row],[Total]])</f>
        <v>202</v>
      </c>
      <c r="I15" s="96">
        <v>200</v>
      </c>
      <c r="J15" s="63">
        <v>263</v>
      </c>
      <c r="K15" s="93">
        <f>UninsLT18to64[[#This Row],[Alternate Adj. Total]]*(UninsLT18to64[[#This Row],[200 to 399% of FPL - Uninsured]]/UninsLT18to64[[#This Row],[Total]])</f>
        <v>263</v>
      </c>
      <c r="L15" s="96">
        <v>190</v>
      </c>
      <c r="M15" s="63">
        <v>291</v>
      </c>
      <c r="N15" s="93">
        <f>UninsLT18to64[[#This Row],[Alternate Adj. Total]]*(UninsLT18to64[[#This Row],[400% FPL and over - Uninsured]]/UninsLT18to64[[#This Row],[Total]])</f>
        <v>291</v>
      </c>
      <c r="O15" s="96">
        <v>162</v>
      </c>
      <c r="P15" s="64">
        <f>SUM(UninsLT18to64[[#This Row],[Below 138% of FPL - Uninsured]]+UninsLT18to64[[#This Row],[138 to 199% of FPL - Uninsured]]+UninsLT18to64[[#This Row],[200 to 399% of FPL - Uninsured]]+UninsLT18to64[[#This Row],[400% FPL and over - Uninsured]])</f>
        <v>835</v>
      </c>
      <c r="Q15" s="83">
        <v>8.7208158000457586E-2</v>
      </c>
      <c r="R1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835</v>
      </c>
      <c r="S15" s="70">
        <f>IF(UninsLT18to64[[#This Row],[Total]]&lt;1000,UninsLT18to64[[#This Row],[Total]],MAX(VLOOKUP(UninsLT18to64[[#This Row],[ZIP Code]],IRSzipToCntyTbl[#All],3,0),(UninsLT18to64[[#This Row],[Total]]-(109811*(VLOOKUP(UninsLT18to64[[#This Row],[ZIP Code]],CitizenshipTbl[#All],4,0))))*0.8))</f>
        <v>835</v>
      </c>
      <c r="V15" s="71"/>
    </row>
    <row r="16" spans="1:22" x14ac:dyDescent="0.3">
      <c r="A16" s="62">
        <v>20650</v>
      </c>
      <c r="B16" s="63" t="str">
        <f>VLOOKUP(A16,ZipToCntyTbl[#All],2,0)</f>
        <v>Leonardtown</v>
      </c>
      <c r="C16" s="63" t="str">
        <f>VLOOKUP(A16,ZipToCntyTbl[#All],3,0)</f>
        <v>Saint Marys</v>
      </c>
      <c r="D16" s="63">
        <v>310</v>
      </c>
      <c r="E16" s="93">
        <f>UninsLT18to64[[#This Row],[Alternate Adj. Total]]*(UninsLT18to64[[#This Row],[Below 138% of FPL - Uninsured]]/UninsLT18to64[[#This Row],[Total]])</f>
        <v>310</v>
      </c>
      <c r="F16" s="96">
        <v>358</v>
      </c>
      <c r="G16" s="63">
        <v>38</v>
      </c>
      <c r="H16" s="93">
        <f>UninsLT18to64[[#This Row],[Alternate Adj. Total]]*(UninsLT18to64[[#This Row],[138 to 199% of FPL - Uninsured]]/UninsLT18to64[[#This Row],[Total]])</f>
        <v>38</v>
      </c>
      <c r="I16" s="96">
        <v>61</v>
      </c>
      <c r="J16" s="63">
        <v>220</v>
      </c>
      <c r="K16" s="93">
        <f>UninsLT18to64[[#This Row],[Alternate Adj. Total]]*(UninsLT18to64[[#This Row],[200 to 399% of FPL - Uninsured]]/UninsLT18to64[[#This Row],[Total]])</f>
        <v>220</v>
      </c>
      <c r="L16" s="96">
        <v>189</v>
      </c>
      <c r="M16" s="63">
        <v>281</v>
      </c>
      <c r="N16" s="93">
        <f>UninsLT18to64[[#This Row],[Alternate Adj. Total]]*(UninsLT18to64[[#This Row],[400% FPL and over - Uninsured]]/UninsLT18to64[[#This Row],[Total]])</f>
        <v>281</v>
      </c>
      <c r="O16" s="96">
        <v>203</v>
      </c>
      <c r="P16" s="64">
        <f>SUM(UninsLT18to64[[#This Row],[Below 138% of FPL - Uninsured]]+UninsLT18to64[[#This Row],[138 to 199% of FPL - Uninsured]]+UninsLT18to64[[#This Row],[200 to 399% of FPL - Uninsured]]+UninsLT18to64[[#This Row],[400% FPL and over - Uninsured]])</f>
        <v>849</v>
      </c>
      <c r="Q16" s="83">
        <v>8.5770096502216828E-2</v>
      </c>
      <c r="R1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849</v>
      </c>
      <c r="S16" s="70">
        <f>IF(UninsLT18to64[[#This Row],[Total]]&lt;1000,UninsLT18to64[[#This Row],[Total]],MAX(VLOOKUP(UninsLT18to64[[#This Row],[ZIP Code]],IRSzipToCntyTbl[#All],3,0),(UninsLT18to64[[#This Row],[Total]]-(109811*(VLOOKUP(UninsLT18to64[[#This Row],[ZIP Code]],CitizenshipTbl[#All],4,0))))*0.8))</f>
        <v>849</v>
      </c>
      <c r="V16" s="71"/>
    </row>
    <row r="17" spans="1:22" x14ac:dyDescent="0.3">
      <c r="A17" s="62">
        <v>20653</v>
      </c>
      <c r="B17" s="63" t="str">
        <f>VLOOKUP(A17,ZipToCntyTbl[#All],2,0)</f>
        <v>Lexington Park</v>
      </c>
      <c r="C17" s="63" t="str">
        <f>VLOOKUP(A17,ZipToCntyTbl[#All],3,0)</f>
        <v>Saint Marys</v>
      </c>
      <c r="D17" s="63">
        <v>286</v>
      </c>
      <c r="E17" s="93">
        <f>UninsLT18to64[[#This Row],[Alternate Adj. Total]]*(UninsLT18to64[[#This Row],[Below 138% of FPL - Uninsured]]/UninsLT18to64[[#This Row],[Total]])</f>
        <v>169.19854895501848</v>
      </c>
      <c r="F17" s="96">
        <v>226</v>
      </c>
      <c r="G17" s="63">
        <v>385</v>
      </c>
      <c r="H17" s="93">
        <f>UninsLT18to64[[#This Row],[Alternate Adj. Total]]*(UninsLT18to64[[#This Row],[138 to 199% of FPL - Uninsured]]/UninsLT18to64[[#This Row],[Total]])</f>
        <v>227.76727743944795</v>
      </c>
      <c r="I17" s="96">
        <v>300</v>
      </c>
      <c r="J17" s="63">
        <v>679</v>
      </c>
      <c r="K17" s="93">
        <f>UninsLT18to64[[#This Row],[Alternate Adj. Total]]*(UninsLT18to64[[#This Row],[200 to 399% of FPL - Uninsured]]/UninsLT18to64[[#This Row],[Total]])</f>
        <v>401.69865293866275</v>
      </c>
      <c r="L17" s="96">
        <v>308</v>
      </c>
      <c r="M17" s="63">
        <v>247</v>
      </c>
      <c r="N17" s="93">
        <f>UninsLT18to64[[#This Row],[Alternate Adj. Total]]*(UninsLT18to64[[#This Row],[400% FPL and over - Uninsured]]/UninsLT18to64[[#This Row],[Total]])</f>
        <v>146.12601955206142</v>
      </c>
      <c r="O17" s="96">
        <v>187</v>
      </c>
      <c r="P17" s="64">
        <f>SUM(UninsLT18to64[[#This Row],[Below 138% of FPL - Uninsured]]+UninsLT18to64[[#This Row],[138 to 199% of FPL - Uninsured]]+UninsLT18to64[[#This Row],[200 to 399% of FPL - Uninsured]]+UninsLT18to64[[#This Row],[400% FPL and over - Uninsured]])</f>
        <v>1597</v>
      </c>
      <c r="Q17" s="83">
        <v>4.5597252304559854E-2</v>
      </c>
      <c r="R1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803.2</v>
      </c>
      <c r="S17" s="70">
        <f>IF(UninsLT18to64[[#This Row],[Total]]&lt;1000,UninsLT18to64[[#This Row],[Total]],MAX(VLOOKUP(UninsLT18to64[[#This Row],[ZIP Code]],IRSzipToCntyTbl[#All],3,0),(UninsLT18to64[[#This Row],[Total]]-(109811*(VLOOKUP(UninsLT18to64[[#This Row],[ZIP Code]],CitizenshipTbl[#All],4,0))))*0.8))</f>
        <v>944.79049888519057</v>
      </c>
      <c r="V17" s="71"/>
    </row>
    <row r="18" spans="1:22" x14ac:dyDescent="0.3">
      <c r="A18" s="62">
        <v>20657</v>
      </c>
      <c r="B18" s="63" t="str">
        <f>VLOOKUP(A18,ZipToCntyTbl[#All],2,0)</f>
        <v>Lusby</v>
      </c>
      <c r="C18" s="63" t="str">
        <f>VLOOKUP(A18,ZipToCntyTbl[#All],3,0)</f>
        <v>Calvert</v>
      </c>
      <c r="D18" s="63">
        <v>314</v>
      </c>
      <c r="E18" s="93">
        <f>UninsLT18to64[[#This Row],[Alternate Adj. Total]]*(UninsLT18to64[[#This Row],[Below 138% of FPL - Uninsured]]/UninsLT18to64[[#This Row],[Total]])</f>
        <v>237.85547109033118</v>
      </c>
      <c r="F18" s="96">
        <v>263</v>
      </c>
      <c r="G18" s="63">
        <v>262</v>
      </c>
      <c r="H18" s="93">
        <f>UninsLT18to64[[#This Row],[Alternate Adj. Total]]*(UninsLT18to64[[#This Row],[138 to 199% of FPL - Uninsured]]/UninsLT18to64[[#This Row],[Total]])</f>
        <v>198.46539307537185</v>
      </c>
      <c r="I18" s="96">
        <v>284</v>
      </c>
      <c r="J18" s="63">
        <v>528</v>
      </c>
      <c r="K18" s="93">
        <f>UninsLT18to64[[#This Row],[Alternate Adj. Total]]*(UninsLT18to64[[#This Row],[200 to 399% of FPL - Uninsured]]/UninsLT18to64[[#This Row],[Total]])</f>
        <v>399.9607921518944</v>
      </c>
      <c r="L18" s="96">
        <v>394</v>
      </c>
      <c r="M18" s="63">
        <v>243</v>
      </c>
      <c r="N18" s="93">
        <f>UninsLT18to64[[#This Row],[Alternate Adj. Total]]*(UninsLT18to64[[#This Row],[400% FPL and over - Uninsured]]/UninsLT18to64[[#This Row],[Total]])</f>
        <v>184.07286456990596</v>
      </c>
      <c r="O18" s="96">
        <v>145</v>
      </c>
      <c r="P18" s="64">
        <f>SUM(UninsLT18to64[[#This Row],[Below 138% of FPL - Uninsured]]+UninsLT18to64[[#This Row],[138 to 199% of FPL - Uninsured]]+UninsLT18to64[[#This Row],[200 to 399% of FPL - Uninsured]]+UninsLT18to64[[#This Row],[400% FPL and over - Uninsured]])</f>
        <v>1347</v>
      </c>
      <c r="Q18" s="83">
        <v>5.4059994009192341E-2</v>
      </c>
      <c r="R1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996</v>
      </c>
      <c r="S18" s="70">
        <f>IF(UninsLT18to64[[#This Row],[Total]]&lt;1000,UninsLT18to64[[#This Row],[Total]],MAX(VLOOKUP(UninsLT18to64[[#This Row],[ZIP Code]],IRSzipToCntyTbl[#All],3,0),(UninsLT18to64[[#This Row],[Total]]-(109811*(VLOOKUP(UninsLT18to64[[#This Row],[ZIP Code]],CitizenshipTbl[#All],4,0))))*0.8))</f>
        <v>1020.3545208875034</v>
      </c>
      <c r="V18" s="71"/>
    </row>
    <row r="19" spans="1:22" x14ac:dyDescent="0.3">
      <c r="A19" s="62">
        <v>20659</v>
      </c>
      <c r="B19" s="63" t="str">
        <f>VLOOKUP(A19,ZipToCntyTbl[#All],2,0)</f>
        <v>Mechanicsville</v>
      </c>
      <c r="C19" s="63" t="str">
        <f>VLOOKUP(A19,ZipToCntyTbl[#All],3,0)</f>
        <v>Saint Marys</v>
      </c>
      <c r="D19" s="63">
        <v>163</v>
      </c>
      <c r="E19" s="93">
        <f>UninsLT18to64[[#This Row],[Alternate Adj. Total]]*(UninsLT18to64[[#This Row],[Below 138% of FPL - Uninsured]]/UninsLT18to64[[#This Row],[Total]])</f>
        <v>126.36592005748727</v>
      </c>
      <c r="F19" s="96">
        <v>200</v>
      </c>
      <c r="G19" s="63">
        <v>188</v>
      </c>
      <c r="H19" s="93">
        <f>UninsLT18to64[[#This Row],[Alternate Adj. Total]]*(UninsLT18to64[[#This Row],[138 to 199% of FPL - Uninsured]]/UninsLT18to64[[#This Row],[Total]])</f>
        <v>145.74719613992397</v>
      </c>
      <c r="I19" s="96">
        <v>213</v>
      </c>
      <c r="J19" s="63">
        <v>641</v>
      </c>
      <c r="K19" s="93">
        <f>UninsLT18to64[[#This Row],[Alternate Adj. Total]]*(UninsLT18to64[[#This Row],[200 to 399% of FPL - Uninsured]]/UninsLT18to64[[#This Row],[Total]])</f>
        <v>496.93591875367696</v>
      </c>
      <c r="L19" s="96">
        <v>473</v>
      </c>
      <c r="M19" s="63">
        <v>482</v>
      </c>
      <c r="N19" s="93">
        <f>UninsLT18to64[[#This Row],[Alternate Adj. Total]]*(UninsLT18to64[[#This Row],[400% FPL and over - Uninsured]]/UninsLT18to64[[#This Row],[Total]])</f>
        <v>373.67100286937955</v>
      </c>
      <c r="O19" s="96">
        <v>358</v>
      </c>
      <c r="P19" s="64">
        <f>SUM(UninsLT18to64[[#This Row],[Below 138% of FPL - Uninsured]]+UninsLT18to64[[#This Row],[138 to 199% of FPL - Uninsured]]+UninsLT18to64[[#This Row],[200 to 399% of FPL - Uninsured]]+UninsLT18to64[[#This Row],[400% FPL and over - Uninsured]])</f>
        <v>1474</v>
      </c>
      <c r="Q19" s="83">
        <v>4.9402179057247003E-2</v>
      </c>
      <c r="R1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1127.2</v>
      </c>
      <c r="S19" s="70">
        <f>IF(UninsLT18to64[[#This Row],[Total]]&lt;1000,UninsLT18to64[[#This Row],[Total]],MAX(VLOOKUP(UninsLT18to64[[#This Row],[ZIP Code]],IRSzipToCntyTbl[#All],3,0),(UninsLT18to64[[#This Row],[Total]]-(109811*(VLOOKUP(UninsLT18to64[[#This Row],[ZIP Code]],CitizenshipTbl[#All],4,0))))*0.8))</f>
        <v>1142.7200378204677</v>
      </c>
      <c r="V19" s="71"/>
    </row>
    <row r="20" spans="1:22" x14ac:dyDescent="0.3">
      <c r="A20" s="62">
        <v>20678</v>
      </c>
      <c r="B20" s="63" t="str">
        <f>VLOOKUP(A20,ZipToCntyTbl[#All],2,0)</f>
        <v>Prince Frederick</v>
      </c>
      <c r="C20" s="63" t="str">
        <f>VLOOKUP(A20,ZipToCntyTbl[#All],3,0)</f>
        <v>Calvert</v>
      </c>
      <c r="D20" s="63">
        <v>218</v>
      </c>
      <c r="E20" s="93">
        <f>UninsLT18to64[[#This Row],[Alternate Adj. Total]]*(UninsLT18to64[[#This Row],[Below 138% of FPL - Uninsured]]/UninsLT18to64[[#This Row],[Total]])</f>
        <v>217.99999999999997</v>
      </c>
      <c r="F20" s="96">
        <v>227</v>
      </c>
      <c r="G20" s="63">
        <v>89</v>
      </c>
      <c r="H20" s="93">
        <f>UninsLT18to64[[#This Row],[Alternate Adj. Total]]*(UninsLT18to64[[#This Row],[138 to 199% of FPL - Uninsured]]/UninsLT18to64[[#This Row],[Total]])</f>
        <v>89</v>
      </c>
      <c r="I20" s="96">
        <v>90</v>
      </c>
      <c r="J20" s="63">
        <v>162</v>
      </c>
      <c r="K20" s="93">
        <f>UninsLT18to64[[#This Row],[Alternate Adj. Total]]*(UninsLT18to64[[#This Row],[200 to 399% of FPL - Uninsured]]/UninsLT18to64[[#This Row],[Total]])</f>
        <v>162</v>
      </c>
      <c r="L20" s="96">
        <v>118</v>
      </c>
      <c r="M20" s="63">
        <v>227</v>
      </c>
      <c r="N20" s="93">
        <f>UninsLT18to64[[#This Row],[Alternate Adj. Total]]*(UninsLT18to64[[#This Row],[400% FPL and over - Uninsured]]/UninsLT18to64[[#This Row],[Total]])</f>
        <v>226.99999999999997</v>
      </c>
      <c r="O20" s="96">
        <v>138</v>
      </c>
      <c r="P20" s="64">
        <f>SUM(UninsLT18to64[[#This Row],[Below 138% of FPL - Uninsured]]+UninsLT18to64[[#This Row],[138 to 199% of FPL - Uninsured]]+UninsLT18to64[[#This Row],[200 to 399% of FPL - Uninsured]]+UninsLT18to64[[#This Row],[400% FPL and over - Uninsured]])</f>
        <v>696</v>
      </c>
      <c r="Q20" s="83">
        <v>0.10462472978503173</v>
      </c>
      <c r="R2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696</v>
      </c>
      <c r="S20" s="70">
        <f>IF(UninsLT18to64[[#This Row],[Total]]&lt;1000,UninsLT18to64[[#This Row],[Total]],MAX(VLOOKUP(UninsLT18to64[[#This Row],[ZIP Code]],IRSzipToCntyTbl[#All],3,0),(UninsLT18to64[[#This Row],[Total]]-(109811*(VLOOKUP(UninsLT18to64[[#This Row],[ZIP Code]],CitizenshipTbl[#All],4,0))))*0.8))</f>
        <v>696</v>
      </c>
      <c r="V20" s="71"/>
    </row>
    <row r="21" spans="1:22" x14ac:dyDescent="0.3">
      <c r="A21" s="62">
        <v>20685</v>
      </c>
      <c r="B21" s="63" t="str">
        <f>VLOOKUP(A21,ZipToCntyTbl[#All],2,0)</f>
        <v>Saint Leonard</v>
      </c>
      <c r="C21" s="63" t="str">
        <f>VLOOKUP(A21,ZipToCntyTbl[#All],3,0)</f>
        <v>Calvert</v>
      </c>
      <c r="D21" s="63">
        <v>186</v>
      </c>
      <c r="E21" s="93">
        <f>UninsLT18to64[[#This Row],[Alternate Adj. Total]]*(UninsLT18to64[[#This Row],[Below 138% of FPL - Uninsured]]/UninsLT18to64[[#This Row],[Total]])</f>
        <v>185.99999999999997</v>
      </c>
      <c r="F21" s="96">
        <v>198</v>
      </c>
      <c r="G21" s="63">
        <v>37</v>
      </c>
      <c r="H21" s="93">
        <f>UninsLT18to64[[#This Row],[Alternate Adj. Total]]*(UninsLT18to64[[#This Row],[138 to 199% of FPL - Uninsured]]/UninsLT18to64[[#This Row],[Total]])</f>
        <v>37</v>
      </c>
      <c r="I21" s="96">
        <v>47</v>
      </c>
      <c r="J21" s="63">
        <v>51</v>
      </c>
      <c r="K21" s="93">
        <f>UninsLT18to64[[#This Row],[Alternate Adj. Total]]*(UninsLT18to64[[#This Row],[200 to 399% of FPL - Uninsured]]/UninsLT18to64[[#This Row],[Total]])</f>
        <v>51</v>
      </c>
      <c r="L21" s="96">
        <v>79</v>
      </c>
      <c r="M21" s="63">
        <v>89</v>
      </c>
      <c r="N21" s="93">
        <f>UninsLT18to64[[#This Row],[Alternate Adj. Total]]*(UninsLT18to64[[#This Row],[400% FPL and over - Uninsured]]/UninsLT18to64[[#This Row],[Total]])</f>
        <v>89</v>
      </c>
      <c r="O21" s="96">
        <v>77</v>
      </c>
      <c r="P21" s="64">
        <f>SUM(UninsLT18to64[[#This Row],[Below 138% of FPL - Uninsured]]+UninsLT18to64[[#This Row],[138 to 199% of FPL - Uninsured]]+UninsLT18to64[[#This Row],[200 to 399% of FPL - Uninsured]]+UninsLT18to64[[#This Row],[400% FPL and over - Uninsured]])</f>
        <v>363</v>
      </c>
      <c r="Q21" s="83">
        <v>0.20060278768700299</v>
      </c>
      <c r="R2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363</v>
      </c>
      <c r="S21" s="70">
        <f>IF(UninsLT18to64[[#This Row],[Total]]&lt;1000,UninsLT18to64[[#This Row],[Total]],MAX(VLOOKUP(UninsLT18to64[[#This Row],[ZIP Code]],IRSzipToCntyTbl[#All],3,0),(UninsLT18to64[[#This Row],[Total]]-(109811*(VLOOKUP(UninsLT18to64[[#This Row],[ZIP Code]],CitizenshipTbl[#All],4,0))))*0.8))</f>
        <v>363</v>
      </c>
      <c r="V21" s="71"/>
    </row>
    <row r="22" spans="1:22" x14ac:dyDescent="0.3">
      <c r="A22" s="62">
        <v>20705</v>
      </c>
      <c r="B22" s="63" t="str">
        <f>VLOOKUP(A22,ZipToCntyTbl[#All],2,0)</f>
        <v>Beltsville</v>
      </c>
      <c r="C22" s="63" t="str">
        <f>VLOOKUP(A22,ZipToCntyTbl[#All],3,0)</f>
        <v>Prince Georges</v>
      </c>
      <c r="D22" s="63">
        <v>659</v>
      </c>
      <c r="E22" s="93">
        <f>UninsLT18to64[[#This Row],[Alternate Adj. Total]]*(UninsLT18to64[[#This Row],[Below 138% of FPL - Uninsured]]/UninsLT18to64[[#This Row],[Total]])</f>
        <v>352.33581593578293</v>
      </c>
      <c r="F22" s="96">
        <v>381</v>
      </c>
      <c r="G22" s="63">
        <v>228</v>
      </c>
      <c r="H22" s="93">
        <f>UninsLT18to64[[#This Row],[Alternate Adj. Total]]*(UninsLT18to64[[#This Row],[138 to 199% of FPL - Uninsured]]/UninsLT18to64[[#This Row],[Total]])</f>
        <v>121.9007071826381</v>
      </c>
      <c r="I22" s="96">
        <v>148</v>
      </c>
      <c r="J22" s="63">
        <v>1322</v>
      </c>
      <c r="K22" s="93">
        <f>UninsLT18to64[[#This Row],[Alternate Adj. Total]]*(UninsLT18to64[[#This Row],[200 to 399% of FPL - Uninsured]]/UninsLT18to64[[#This Row],[Total]])</f>
        <v>706.81024076950678</v>
      </c>
      <c r="L22" s="96">
        <v>524</v>
      </c>
      <c r="M22" s="63">
        <v>934</v>
      </c>
      <c r="N22" s="93">
        <f>UninsLT18to64[[#This Row],[Alternate Adj. Total]]*(UninsLT18to64[[#This Row],[400% FPL and over - Uninsured]]/UninsLT18to64[[#This Row],[Total]])</f>
        <v>499.36517766922793</v>
      </c>
      <c r="O22" s="96">
        <v>294</v>
      </c>
      <c r="P22" s="64">
        <f>SUM(UninsLT18to64[[#This Row],[Below 138% of FPL - Uninsured]]+UninsLT18to64[[#This Row],[138 to 199% of FPL - Uninsured]]+UninsLT18to64[[#This Row],[200 to 399% of FPL - Uninsured]]+UninsLT18to64[[#This Row],[400% FPL and over - Uninsured]])</f>
        <v>3143</v>
      </c>
      <c r="Q22" s="83">
        <v>2.3168568861082432E-2</v>
      </c>
      <c r="R2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1325.6000000000001</v>
      </c>
      <c r="S22" s="70">
        <f>IF(UninsLT18to64[[#This Row],[Total]]&lt;1000,UninsLT18to64[[#This Row],[Total]],MAX(VLOOKUP(UninsLT18to64[[#This Row],[ZIP Code]],IRSzipToCntyTbl[#All],3,0),(UninsLT18to64[[#This Row],[Total]]-(109811*(VLOOKUP(UninsLT18to64[[#This Row],[ZIP Code]],CitizenshipTbl[#All],4,0))))*0.8))</f>
        <v>1680.4119415571558</v>
      </c>
      <c r="V22" s="71"/>
    </row>
    <row r="23" spans="1:22" x14ac:dyDescent="0.3">
      <c r="A23" s="62">
        <v>20706</v>
      </c>
      <c r="B23" s="63" t="str">
        <f>VLOOKUP(A23,ZipToCntyTbl[#All],2,0)</f>
        <v>Lanham</v>
      </c>
      <c r="C23" s="63" t="str">
        <f>VLOOKUP(A23,ZipToCntyTbl[#All],3,0)</f>
        <v>Prince Georges</v>
      </c>
      <c r="D23" s="63">
        <v>1559</v>
      </c>
      <c r="E23" s="93">
        <f>UninsLT18to64[[#This Row],[Alternate Adj. Total]]*(UninsLT18to64[[#This Row],[Below 138% of FPL - Uninsured]]/UninsLT18to64[[#This Row],[Total]])</f>
        <v>788.18733930429232</v>
      </c>
      <c r="F23" s="96">
        <v>678</v>
      </c>
      <c r="G23" s="63">
        <v>911</v>
      </c>
      <c r="H23" s="93">
        <f>UninsLT18to64[[#This Row],[Alternate Adj. Total]]*(UninsLT18to64[[#This Row],[138 to 199% of FPL - Uninsured]]/UninsLT18to64[[#This Row],[Total]])</f>
        <v>460.57643752803745</v>
      </c>
      <c r="I23" s="96">
        <v>392</v>
      </c>
      <c r="J23" s="63">
        <v>2183</v>
      </c>
      <c r="K23" s="93">
        <f>UninsLT18to64[[#This Row],[Alternate Adj. Total]]*(UninsLT18to64[[#This Row],[200 to 399% of FPL - Uninsured]]/UninsLT18to64[[#This Row],[Total]])</f>
        <v>1103.6645039777229</v>
      </c>
      <c r="L23" s="96">
        <v>675</v>
      </c>
      <c r="M23" s="63">
        <v>812</v>
      </c>
      <c r="N23" s="93">
        <f>UninsLT18to64[[#This Row],[Alternate Adj. Total]]*(UninsLT18to64[[#This Row],[400% FPL and over - Uninsured]]/UninsLT18to64[[#This Row],[Total]])</f>
        <v>410.52477197888737</v>
      </c>
      <c r="O23" s="96">
        <v>237</v>
      </c>
      <c r="P23" s="64">
        <f>SUM(UninsLT18to64[[#This Row],[Below 138% of FPL - Uninsured]]+UninsLT18to64[[#This Row],[138 to 199% of FPL - Uninsured]]+UninsLT18to64[[#This Row],[200 to 399% of FPL - Uninsured]]+UninsLT18to64[[#This Row],[400% FPL and over - Uninsured]])</f>
        <v>5465</v>
      </c>
      <c r="Q23" s="83">
        <v>1.3324576748468816E-2</v>
      </c>
      <c r="R2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2078.4</v>
      </c>
      <c r="S23" s="70">
        <f>IF(UninsLT18to64[[#This Row],[Total]]&lt;1000,UninsLT18to64[[#This Row],[Total]],MAX(VLOOKUP(UninsLT18to64[[#This Row],[ZIP Code]],IRSzipToCntyTbl[#All],3,0),(UninsLT18to64[[#This Row],[Total]]-(109811*(VLOOKUP(UninsLT18to64[[#This Row],[ZIP Code]],CitizenshipTbl[#All],4,0))))*0.8))</f>
        <v>2762.9530527889401</v>
      </c>
      <c r="V23" s="71"/>
    </row>
    <row r="24" spans="1:22" x14ac:dyDescent="0.3">
      <c r="A24" s="62">
        <v>20707</v>
      </c>
      <c r="B24" s="63" t="str">
        <f>VLOOKUP(A24,ZipToCntyTbl[#All],2,0)</f>
        <v>Laurel</v>
      </c>
      <c r="C24" s="63" t="str">
        <f>VLOOKUP(A24,ZipToCntyTbl[#All],3,0)</f>
        <v>Prince Georges</v>
      </c>
      <c r="D24" s="63">
        <v>571</v>
      </c>
      <c r="E24" s="93">
        <f>UninsLT18to64[[#This Row],[Alternate Adj. Total]]*(UninsLT18to64[[#This Row],[Below 138% of FPL - Uninsured]]/UninsLT18to64[[#This Row],[Total]])</f>
        <v>290.36663066999768</v>
      </c>
      <c r="F24" s="96">
        <v>247</v>
      </c>
      <c r="G24" s="63">
        <v>499</v>
      </c>
      <c r="H24" s="93">
        <f>UninsLT18to64[[#This Row],[Alternate Adj. Total]]*(UninsLT18to64[[#This Row],[138 to 199% of FPL - Uninsured]]/UninsLT18to64[[#This Row],[Total]])</f>
        <v>253.75297496379832</v>
      </c>
      <c r="I24" s="96">
        <v>251</v>
      </c>
      <c r="J24" s="63">
        <v>1307</v>
      </c>
      <c r="K24" s="93">
        <f>UninsLT18to64[[#This Row],[Alternate Adj. Total]]*(UninsLT18to64[[#This Row],[200 to 399% of FPL - Uninsured]]/UninsLT18to64[[#This Row],[Total]])</f>
        <v>664.63955566670222</v>
      </c>
      <c r="L24" s="96">
        <v>409</v>
      </c>
      <c r="M24" s="63">
        <v>594</v>
      </c>
      <c r="N24" s="93">
        <f>UninsLT18to64[[#This Row],[Alternate Adj. Total]]*(UninsLT18to64[[#This Row],[400% FPL and over - Uninsured]]/UninsLT18to64[[#This Row],[Total]])</f>
        <v>302.06265957614471</v>
      </c>
      <c r="O24" s="96">
        <v>206</v>
      </c>
      <c r="P24" s="64">
        <f>SUM(UninsLT18to64[[#This Row],[Below 138% of FPL - Uninsured]]+UninsLT18to64[[#This Row],[138 to 199% of FPL - Uninsured]]+UninsLT18to64[[#This Row],[200 to 399% of FPL - Uninsured]]+UninsLT18to64[[#This Row],[400% FPL and over - Uninsured]])</f>
        <v>2971</v>
      </c>
      <c r="Q24" s="83">
        <v>2.4509866014938434E-2</v>
      </c>
      <c r="R2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1142.4000000000001</v>
      </c>
      <c r="S24" s="70">
        <f>IF(UninsLT18to64[[#This Row],[Total]]&lt;1000,UninsLT18to64[[#This Row],[Total]],MAX(VLOOKUP(UninsLT18to64[[#This Row],[ZIP Code]],IRSzipToCntyTbl[#All],3,0),(UninsLT18to64[[#This Row],[Total]]-(109811*(VLOOKUP(UninsLT18to64[[#This Row],[ZIP Code]],CitizenshipTbl[#All],4,0))))*0.8))</f>
        <v>1510.821820876643</v>
      </c>
      <c r="V24" s="71"/>
    </row>
    <row r="25" spans="1:22" x14ac:dyDescent="0.3">
      <c r="A25" s="62">
        <v>20708</v>
      </c>
      <c r="B25" s="63" t="str">
        <f>VLOOKUP(A25,ZipToCntyTbl[#All],2,0)</f>
        <v>Laurel</v>
      </c>
      <c r="C25" s="63" t="str">
        <f>VLOOKUP(A25,ZipToCntyTbl[#All],3,0)</f>
        <v>Prince Georges</v>
      </c>
      <c r="D25" s="63">
        <v>938</v>
      </c>
      <c r="E25" s="93">
        <f>UninsLT18to64[[#This Row],[Alternate Adj. Total]]*(UninsLT18to64[[#This Row],[Below 138% of FPL - Uninsured]]/UninsLT18to64[[#This Row],[Total]])</f>
        <v>512.2340353527087</v>
      </c>
      <c r="F25" s="96">
        <v>558</v>
      </c>
      <c r="G25" s="63">
        <v>401</v>
      </c>
      <c r="H25" s="93">
        <f>UninsLT18to64[[#This Row],[Alternate Adj. Total]]*(UninsLT18to64[[#This Row],[138 to 199% of FPL - Uninsured]]/UninsLT18to64[[#This Row],[Total]])</f>
        <v>218.98278057189361</v>
      </c>
      <c r="I25" s="96">
        <v>234</v>
      </c>
      <c r="J25" s="63">
        <v>1101</v>
      </c>
      <c r="K25" s="93">
        <f>UninsLT18to64[[#This Row],[Alternate Adj. Total]]*(UninsLT18to64[[#This Row],[200 to 399% of FPL - Uninsured]]/UninsLT18to64[[#This Row],[Total]])</f>
        <v>601.24698605898971</v>
      </c>
      <c r="L25" s="96">
        <v>422</v>
      </c>
      <c r="M25" s="63">
        <v>460</v>
      </c>
      <c r="N25" s="93">
        <f>UninsLT18to64[[#This Row],[Alternate Adj. Total]]*(UninsLT18to64[[#This Row],[400% FPL and over - Uninsured]]/UninsLT18to64[[#This Row],[Total]])</f>
        <v>251.20219217723459</v>
      </c>
      <c r="O25" s="96">
        <v>276</v>
      </c>
      <c r="P25" s="64">
        <f>SUM(UninsLT18to64[[#This Row],[Below 138% of FPL - Uninsured]]+UninsLT18to64[[#This Row],[138 to 199% of FPL - Uninsured]]+UninsLT18to64[[#This Row],[200 to 399% of FPL - Uninsured]]+UninsLT18to64[[#This Row],[400% FPL and over - Uninsured]])</f>
        <v>2900</v>
      </c>
      <c r="Q25" s="83">
        <v>2.5109935148407616E-2</v>
      </c>
      <c r="R2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1270.4000000000001</v>
      </c>
      <c r="S25" s="70">
        <f>IF(UninsLT18to64[[#This Row],[Total]]&lt;1000,UninsLT18to64[[#This Row],[Total]],MAX(VLOOKUP(UninsLT18to64[[#This Row],[ZIP Code]],IRSzipToCntyTbl[#All],3,0),(UninsLT18to64[[#This Row],[Total]]-(109811*(VLOOKUP(UninsLT18to64[[#This Row],[ZIP Code]],CitizenshipTbl[#All],4,0))))*0.8))</f>
        <v>1583.6659941608266</v>
      </c>
      <c r="V25" s="71"/>
    </row>
    <row r="26" spans="1:22" x14ac:dyDescent="0.3">
      <c r="A26" s="62">
        <v>20710</v>
      </c>
      <c r="B26" s="63" t="str">
        <f>VLOOKUP(A26,ZipToCntyTbl[#All],2,0)</f>
        <v>Bladensburg</v>
      </c>
      <c r="C26" s="63" t="str">
        <f>VLOOKUP(A26,ZipToCntyTbl[#All],3,0)</f>
        <v>Prince Georges</v>
      </c>
      <c r="D26" s="63">
        <v>469</v>
      </c>
      <c r="E26" s="93">
        <f>UninsLT18to64[[#This Row],[Alternate Adj. Total]]*(UninsLT18to64[[#This Row],[Below 138% of FPL - Uninsured]]/UninsLT18to64[[#This Row],[Total]])</f>
        <v>206.45940222002886</v>
      </c>
      <c r="F26" s="96">
        <v>347</v>
      </c>
      <c r="G26" s="63">
        <v>516</v>
      </c>
      <c r="H26" s="93">
        <f>UninsLT18to64[[#This Row],[Alternate Adj. Total]]*(UninsLT18to64[[#This Row],[138 to 199% of FPL - Uninsured]]/UninsLT18to64[[#This Row],[Total]])</f>
        <v>227.14936363653496</v>
      </c>
      <c r="I26" s="96">
        <v>306</v>
      </c>
      <c r="J26" s="63">
        <v>556</v>
      </c>
      <c r="K26" s="93">
        <f>UninsLT18to64[[#This Row],[Alternate Adj. Total]]*(UninsLT18to64[[#This Row],[200 to 399% of FPL - Uninsured]]/UninsLT18to64[[#This Row],[Total]])</f>
        <v>244.75784143781672</v>
      </c>
      <c r="L26" s="96">
        <v>472</v>
      </c>
      <c r="M26" s="63">
        <v>178</v>
      </c>
      <c r="N26" s="93">
        <f>UninsLT18to64[[#This Row],[Alternate Adj. Total]]*(UninsLT18to64[[#This Row],[400% FPL and over - Uninsured]]/UninsLT18to64[[#This Row],[Total]])</f>
        <v>78.357726215703906</v>
      </c>
      <c r="O26" s="96">
        <v>175</v>
      </c>
      <c r="P26" s="64">
        <f>SUM(UninsLT18to64[[#This Row],[Below 138% of FPL - Uninsured]]+UninsLT18to64[[#This Row],[138 to 199% of FPL - Uninsured]]+UninsLT18to64[[#This Row],[200 to 399% of FPL - Uninsured]]+UninsLT18to64[[#This Row],[400% FPL and over - Uninsured]])</f>
        <v>1719</v>
      </c>
      <c r="Q26" s="83">
        <v>4.2361147138093122E-2</v>
      </c>
      <c r="R2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493.6</v>
      </c>
      <c r="S26" s="70">
        <f>IF(UninsLT18to64[[#This Row],[Total]]&lt;1000,UninsLT18to64[[#This Row],[Total]],MAX(VLOOKUP(UninsLT18to64[[#This Row],[ZIP Code]],IRSzipToCntyTbl[#All],3,0),(UninsLT18to64[[#This Row],[Total]]-(109811*(VLOOKUP(UninsLT18to64[[#This Row],[ZIP Code]],CitizenshipTbl[#All],4,0))))*0.8))</f>
        <v>756.72433351008442</v>
      </c>
      <c r="V26" s="71"/>
    </row>
    <row r="27" spans="1:22" x14ac:dyDescent="0.3">
      <c r="A27" s="62">
        <v>20711</v>
      </c>
      <c r="B27" s="63" t="str">
        <f>VLOOKUP(A27,ZipToCntyTbl[#All],2,0)</f>
        <v>Lothian</v>
      </c>
      <c r="C27" s="63" t="str">
        <f>VLOOKUP(A27,ZipToCntyTbl[#All],3,0)</f>
        <v>Anne Arundel</v>
      </c>
      <c r="D27" s="63">
        <v>98</v>
      </c>
      <c r="E27" s="93">
        <f>UninsLT18to64[[#This Row],[Alternate Adj. Total]]*(UninsLT18to64[[#This Row],[Below 138% of FPL - Uninsured]]/UninsLT18to64[[#This Row],[Total]])</f>
        <v>98</v>
      </c>
      <c r="F27" s="96">
        <v>168</v>
      </c>
      <c r="G27" s="63">
        <v>39</v>
      </c>
      <c r="H27" s="93">
        <f>UninsLT18to64[[#This Row],[Alternate Adj. Total]]*(UninsLT18to64[[#This Row],[138 to 199% of FPL - Uninsured]]/UninsLT18to64[[#This Row],[Total]])</f>
        <v>39</v>
      </c>
      <c r="I27" s="96">
        <v>68</v>
      </c>
      <c r="J27" s="63">
        <v>77</v>
      </c>
      <c r="K27" s="93">
        <f>UninsLT18to64[[#This Row],[Alternate Adj. Total]]*(UninsLT18to64[[#This Row],[200 to 399% of FPL - Uninsured]]/UninsLT18to64[[#This Row],[Total]])</f>
        <v>77</v>
      </c>
      <c r="L27" s="96">
        <v>100</v>
      </c>
      <c r="M27" s="63">
        <v>39</v>
      </c>
      <c r="N27" s="93">
        <f>UninsLT18to64[[#This Row],[Alternate Adj. Total]]*(UninsLT18to64[[#This Row],[400% FPL and over - Uninsured]]/UninsLT18to64[[#This Row],[Total]])</f>
        <v>39</v>
      </c>
      <c r="O27" s="96">
        <v>82</v>
      </c>
      <c r="P27" s="64">
        <f>SUM(UninsLT18to64[[#This Row],[Below 138% of FPL - Uninsured]]+UninsLT18to64[[#This Row],[138 to 199% of FPL - Uninsured]]+UninsLT18to64[[#This Row],[200 to 399% of FPL - Uninsured]]+UninsLT18to64[[#This Row],[400% FPL and over - Uninsured]])</f>
        <v>253</v>
      </c>
      <c r="Q27" s="83">
        <v>0.2878213910291782</v>
      </c>
      <c r="R2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253</v>
      </c>
      <c r="S27" s="70">
        <f>IF(UninsLT18to64[[#This Row],[Total]]&lt;1000,UninsLT18to64[[#This Row],[Total]],MAX(VLOOKUP(UninsLT18to64[[#This Row],[ZIP Code]],IRSzipToCntyTbl[#All],3,0),(UninsLT18to64[[#This Row],[Total]]-(109811*(VLOOKUP(UninsLT18to64[[#This Row],[ZIP Code]],CitizenshipTbl[#All],4,0))))*0.8))</f>
        <v>253</v>
      </c>
      <c r="V27" s="71"/>
    </row>
    <row r="28" spans="1:22" x14ac:dyDescent="0.3">
      <c r="A28" s="62">
        <v>20712</v>
      </c>
      <c r="B28" s="63" t="str">
        <f>VLOOKUP(A28,ZipToCntyTbl[#All],2,0)</f>
        <v>Mount Rainier</v>
      </c>
      <c r="C28" s="63" t="str">
        <f>VLOOKUP(A28,ZipToCntyTbl[#All],3,0)</f>
        <v>Prince Georges</v>
      </c>
      <c r="D28" s="63">
        <v>381</v>
      </c>
      <c r="E28" s="93">
        <f>UninsLT18to64[[#This Row],[Alternate Adj. Total]]*(UninsLT18to64[[#This Row],[Below 138% of FPL - Uninsured]]/UninsLT18to64[[#This Row],[Total]])</f>
        <v>148.16522624868281</v>
      </c>
      <c r="F28" s="96">
        <v>243</v>
      </c>
      <c r="G28" s="63">
        <v>503</v>
      </c>
      <c r="H28" s="93">
        <f>UninsLT18to64[[#This Row],[Alternate Adj. Total]]*(UninsLT18to64[[#This Row],[138 to 199% of FPL - Uninsured]]/UninsLT18to64[[#This Row],[Total]])</f>
        <v>195.60920945692249</v>
      </c>
      <c r="I28" s="96">
        <v>257</v>
      </c>
      <c r="J28" s="63">
        <v>682</v>
      </c>
      <c r="K28" s="93">
        <f>UninsLT18to64[[#This Row],[Alternate Adj. Total]]*(UninsLT18to64[[#This Row],[200 to 399% of FPL - Uninsured]]/UninsLT18to64[[#This Row],[Total]])</f>
        <v>265.21964383622492</v>
      </c>
      <c r="L28" s="96">
        <v>316</v>
      </c>
      <c r="M28" s="63">
        <v>165</v>
      </c>
      <c r="N28" s="93">
        <f>UninsLT18to64[[#This Row],[Alternate Adj. Total]]*(UninsLT18to64[[#This Row],[400% FPL and over - Uninsured]]/UninsLT18to64[[#This Row],[Total]])</f>
        <v>64.166042863602797</v>
      </c>
      <c r="O28" s="96">
        <v>132</v>
      </c>
      <c r="P28" s="64">
        <f>SUM(UninsLT18to64[[#This Row],[Below 138% of FPL - Uninsured]]+UninsLT18to64[[#This Row],[138 to 199% of FPL - Uninsured]]+UninsLT18to64[[#This Row],[200 to 399% of FPL - Uninsured]]+UninsLT18to64[[#This Row],[400% FPL and over - Uninsured]])</f>
        <v>1731</v>
      </c>
      <c r="Q28" s="83">
        <v>4.2067482339908771E-2</v>
      </c>
      <c r="R2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370.40000000000003</v>
      </c>
      <c r="S28" s="70">
        <f>IF(UninsLT18to64[[#This Row],[Total]]&lt;1000,UninsLT18to64[[#This Row],[Total]],MAX(VLOOKUP(UninsLT18to64[[#This Row],[ZIP Code]],IRSzipToCntyTbl[#All],3,0),(UninsLT18to64[[#This Row],[Total]]-(109811*(VLOOKUP(UninsLT18to64[[#This Row],[ZIP Code]],CitizenshipTbl[#All],4,0))))*0.8))</f>
        <v>673.16012240543296</v>
      </c>
      <c r="V28" s="71"/>
    </row>
    <row r="29" spans="1:22" x14ac:dyDescent="0.3">
      <c r="A29" s="62">
        <v>20715</v>
      </c>
      <c r="B29" s="63" t="str">
        <f>VLOOKUP(A29,ZipToCntyTbl[#All],2,0)</f>
        <v>Bowie</v>
      </c>
      <c r="C29" s="63" t="str">
        <f>VLOOKUP(A29,ZipToCntyTbl[#All],3,0)</f>
        <v>Prince Georges</v>
      </c>
      <c r="D29" s="63">
        <v>215</v>
      </c>
      <c r="E29" s="93">
        <f>UninsLT18to64[[#This Row],[Alternate Adj. Total]]*(UninsLT18to64[[#This Row],[Below 138% of FPL - Uninsured]]/UninsLT18to64[[#This Row],[Total]])</f>
        <v>144.94779975842877</v>
      </c>
      <c r="F29" s="96">
        <v>172</v>
      </c>
      <c r="G29" s="63">
        <v>311</v>
      </c>
      <c r="H29" s="93">
        <f>UninsLT18to64[[#This Row],[Alternate Adj. Total]]*(UninsLT18to64[[#This Row],[138 to 199% of FPL - Uninsured]]/UninsLT18to64[[#This Row],[Total]])</f>
        <v>209.66867779009928</v>
      </c>
      <c r="I29" s="96">
        <v>204</v>
      </c>
      <c r="J29" s="63">
        <v>255</v>
      </c>
      <c r="K29" s="93">
        <f>UninsLT18to64[[#This Row],[Alternate Adj. Total]]*(UninsLT18to64[[#This Row],[200 to 399% of FPL - Uninsured]]/UninsLT18to64[[#This Row],[Total]])</f>
        <v>171.91483227162482</v>
      </c>
      <c r="L29" s="96">
        <v>130</v>
      </c>
      <c r="M29" s="63">
        <v>459</v>
      </c>
      <c r="N29" s="93">
        <f>UninsLT18to64[[#This Row],[Alternate Adj. Total]]*(UninsLT18to64[[#This Row],[400% FPL and over - Uninsured]]/UninsLT18to64[[#This Row],[Total]])</f>
        <v>309.44669808892468</v>
      </c>
      <c r="O29" s="96">
        <v>170</v>
      </c>
      <c r="P29" s="64">
        <f>SUM(UninsLT18to64[[#This Row],[Below 138% of FPL - Uninsured]]+UninsLT18to64[[#This Row],[138 to 199% of FPL - Uninsured]]+UninsLT18to64[[#This Row],[200 to 399% of FPL - Uninsured]]+UninsLT18to64[[#This Row],[400% FPL and over - Uninsured]])</f>
        <v>1240</v>
      </c>
      <c r="Q29" s="83">
        <v>5.8724848330953296E-2</v>
      </c>
      <c r="R2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769.6</v>
      </c>
      <c r="S29" s="70">
        <f>IF(UninsLT18to64[[#This Row],[Total]]&lt;1000,UninsLT18to64[[#This Row],[Total]],MAX(VLOOKUP(UninsLT18to64[[#This Row],[ZIP Code]],IRSzipToCntyTbl[#All],3,0),(UninsLT18to64[[#This Row],[Total]]-(109811*(VLOOKUP(UninsLT18to64[[#This Row],[ZIP Code]],CitizenshipTbl[#All],4,0))))*0.8))</f>
        <v>835.97800790907752</v>
      </c>
      <c r="V29" s="71"/>
    </row>
    <row r="30" spans="1:22" x14ac:dyDescent="0.3">
      <c r="A30" s="62">
        <v>20716</v>
      </c>
      <c r="B30" s="63" t="str">
        <f>VLOOKUP(A30,ZipToCntyTbl[#All],2,0)</f>
        <v>Bowie</v>
      </c>
      <c r="C30" s="63" t="str">
        <f>VLOOKUP(A30,ZipToCntyTbl[#All],3,0)</f>
        <v>Prince Georges</v>
      </c>
      <c r="D30" s="63">
        <v>78</v>
      </c>
      <c r="E30" s="93">
        <f>UninsLT18to64[[#This Row],[Alternate Adj. Total]]*(UninsLT18to64[[#This Row],[Below 138% of FPL - Uninsured]]/UninsLT18to64[[#This Row],[Total]])</f>
        <v>46.447104622007672</v>
      </c>
      <c r="F30" s="96">
        <v>89</v>
      </c>
      <c r="G30" s="63">
        <v>140</v>
      </c>
      <c r="H30" s="93">
        <f>UninsLT18to64[[#This Row],[Alternate Adj. Total]]*(UninsLT18to64[[#This Row],[138 to 199% of FPL - Uninsured]]/UninsLT18to64[[#This Row],[Total]])</f>
        <v>83.366598039500943</v>
      </c>
      <c r="I30" s="96">
        <v>119</v>
      </c>
      <c r="J30" s="63">
        <v>420</v>
      </c>
      <c r="K30" s="93">
        <f>UninsLT18to64[[#This Row],[Alternate Adj. Total]]*(UninsLT18to64[[#This Row],[200 to 399% of FPL - Uninsured]]/UninsLT18to64[[#This Row],[Total]])</f>
        <v>250.09979411850284</v>
      </c>
      <c r="L30" s="96">
        <v>228</v>
      </c>
      <c r="M30" s="63">
        <v>520</v>
      </c>
      <c r="N30" s="93">
        <f>UninsLT18to64[[#This Row],[Alternate Adj. Total]]*(UninsLT18to64[[#This Row],[400% FPL and over - Uninsured]]/UninsLT18to64[[#This Row],[Total]])</f>
        <v>309.64736414671779</v>
      </c>
      <c r="O30" s="96">
        <v>197</v>
      </c>
      <c r="P30" s="64">
        <f>SUM(UninsLT18to64[[#This Row],[Below 138% of FPL - Uninsured]]+UninsLT18to64[[#This Row],[138 to 199% of FPL - Uninsured]]+UninsLT18to64[[#This Row],[200 to 399% of FPL - Uninsured]]+UninsLT18to64[[#This Row],[400% FPL and over - Uninsured]])</f>
        <v>1158</v>
      </c>
      <c r="Q30" s="83">
        <v>6.2883257280122701E-2</v>
      </c>
      <c r="R3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588.80000000000007</v>
      </c>
      <c r="S30" s="70">
        <f>IF(UninsLT18to64[[#This Row],[Total]]&lt;1000,UninsLT18to64[[#This Row],[Total]],MAX(VLOOKUP(UninsLT18to64[[#This Row],[ZIP Code]],IRSzipToCntyTbl[#All],3,0),(UninsLT18to64[[#This Row],[Total]]-(109811*(VLOOKUP(UninsLT18to64[[#This Row],[ZIP Code]],CitizenshipTbl[#All],4,0))))*0.8))</f>
        <v>689.56086092672922</v>
      </c>
      <c r="V30" s="71"/>
    </row>
    <row r="31" spans="1:22" x14ac:dyDescent="0.3">
      <c r="A31" s="62">
        <v>20720</v>
      </c>
      <c r="B31" s="63" t="str">
        <f>VLOOKUP(A31,ZipToCntyTbl[#All],2,0)</f>
        <v>Bowie</v>
      </c>
      <c r="C31" s="63" t="str">
        <f>VLOOKUP(A31,ZipToCntyTbl[#All],3,0)</f>
        <v>Prince Georges</v>
      </c>
      <c r="D31" s="63">
        <v>132</v>
      </c>
      <c r="E31" s="93">
        <f>UninsLT18to64[[#This Row],[Alternate Adj. Total]]*(UninsLT18to64[[#This Row],[Below 138% of FPL - Uninsured]]/UninsLT18to64[[#This Row],[Total]])</f>
        <v>132</v>
      </c>
      <c r="F31" s="96">
        <v>182</v>
      </c>
      <c r="G31" s="63">
        <v>203</v>
      </c>
      <c r="H31" s="93">
        <f>UninsLT18to64[[#This Row],[Alternate Adj. Total]]*(UninsLT18to64[[#This Row],[138 to 199% of FPL - Uninsured]]/UninsLT18to64[[#This Row],[Total]])</f>
        <v>203</v>
      </c>
      <c r="I31" s="96">
        <v>211</v>
      </c>
      <c r="J31" s="63">
        <v>232</v>
      </c>
      <c r="K31" s="93">
        <f>UninsLT18to64[[#This Row],[Alternate Adj. Total]]*(UninsLT18to64[[#This Row],[200 to 399% of FPL - Uninsured]]/UninsLT18to64[[#This Row],[Total]])</f>
        <v>232</v>
      </c>
      <c r="L31" s="96">
        <v>153</v>
      </c>
      <c r="M31" s="63">
        <v>274</v>
      </c>
      <c r="N31" s="93">
        <f>UninsLT18to64[[#This Row],[Alternate Adj. Total]]*(UninsLT18to64[[#This Row],[400% FPL and over - Uninsured]]/UninsLT18to64[[#This Row],[Total]])</f>
        <v>274</v>
      </c>
      <c r="O31" s="96">
        <v>134</v>
      </c>
      <c r="P31" s="64">
        <f>SUM(UninsLT18to64[[#This Row],[Below 138% of FPL - Uninsured]]+UninsLT18to64[[#This Row],[138 to 199% of FPL - Uninsured]]+UninsLT18to64[[#This Row],[200 to 399% of FPL - Uninsured]]+UninsLT18to64[[#This Row],[400% FPL and over - Uninsured]])</f>
        <v>841</v>
      </c>
      <c r="Q31" s="83">
        <v>8.6585983270371092E-2</v>
      </c>
      <c r="R3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841</v>
      </c>
      <c r="S31" s="70">
        <f>IF(UninsLT18to64[[#This Row],[Total]]&lt;1000,UninsLT18to64[[#This Row],[Total]],MAX(VLOOKUP(UninsLT18to64[[#This Row],[ZIP Code]],IRSzipToCntyTbl[#All],3,0),(UninsLT18to64[[#This Row],[Total]]-(109811*(VLOOKUP(UninsLT18to64[[#This Row],[ZIP Code]],CitizenshipTbl[#All],4,0))))*0.8))</f>
        <v>841</v>
      </c>
      <c r="V31" s="71"/>
    </row>
    <row r="32" spans="1:22" x14ac:dyDescent="0.3">
      <c r="A32" s="62">
        <v>20721</v>
      </c>
      <c r="B32" s="63" t="str">
        <f>VLOOKUP(A32,ZipToCntyTbl[#All],2,0)</f>
        <v>Bowie</v>
      </c>
      <c r="C32" s="63" t="str">
        <f>VLOOKUP(A32,ZipToCntyTbl[#All],3,0)</f>
        <v>Prince Georges</v>
      </c>
      <c r="D32" s="63">
        <v>182</v>
      </c>
      <c r="E32" s="93">
        <f>UninsLT18to64[[#This Row],[Alternate Adj. Total]]*(UninsLT18to64[[#This Row],[Below 138% of FPL - Uninsured]]/UninsLT18to64[[#This Row],[Total]])</f>
        <v>120.44449233754958</v>
      </c>
      <c r="F32" s="96">
        <v>198</v>
      </c>
      <c r="G32" s="63">
        <v>67</v>
      </c>
      <c r="H32" s="93">
        <f>UninsLT18to64[[#This Row],[Alternate Adj. Total]]*(UninsLT18to64[[#This Row],[138 to 199% of FPL - Uninsured]]/UninsLT18to64[[#This Row],[Total]])</f>
        <v>44.339455970416601</v>
      </c>
      <c r="I32" s="96">
        <v>80</v>
      </c>
      <c r="J32" s="63">
        <v>377</v>
      </c>
      <c r="K32" s="93">
        <f>UninsLT18to64[[#This Row],[Alternate Adj. Total]]*(UninsLT18to64[[#This Row],[200 to 399% of FPL - Uninsured]]/UninsLT18to64[[#This Row],[Total]])</f>
        <v>249.49216269920984</v>
      </c>
      <c r="L32" s="96">
        <v>261</v>
      </c>
      <c r="M32" s="63">
        <v>515</v>
      </c>
      <c r="N32" s="93">
        <f>UninsLT18to64[[#This Row],[Alternate Adj. Total]]*(UninsLT18to64[[#This Row],[400% FPL and over - Uninsured]]/UninsLT18to64[[#This Row],[Total]])</f>
        <v>340.81820633976946</v>
      </c>
      <c r="O32" s="96">
        <v>250</v>
      </c>
      <c r="P32" s="64">
        <f>SUM(UninsLT18to64[[#This Row],[Below 138% of FPL - Uninsured]]+UninsLT18to64[[#This Row],[138 to 199% of FPL - Uninsured]]+UninsLT18to64[[#This Row],[200 to 399% of FPL - Uninsured]]+UninsLT18to64[[#This Row],[400% FPL and over - Uninsured]])</f>
        <v>1141</v>
      </c>
      <c r="Q32" s="83">
        <v>6.3820168212429515E-2</v>
      </c>
      <c r="R3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688</v>
      </c>
      <c r="S32" s="70">
        <f>IF(UninsLT18to64[[#This Row],[Total]]&lt;1000,UninsLT18to64[[#This Row],[Total]],MAX(VLOOKUP(UninsLT18to64[[#This Row],[ZIP Code]],IRSzipToCntyTbl[#All],3,0),(UninsLT18to64[[#This Row],[Total]]-(109811*(VLOOKUP(UninsLT18to64[[#This Row],[ZIP Code]],CitizenshipTbl[#All],4,0))))*0.8))</f>
        <v>755.09431734694545</v>
      </c>
      <c r="V32" s="71"/>
    </row>
    <row r="33" spans="1:22" x14ac:dyDescent="0.3">
      <c r="A33" s="62">
        <v>20722</v>
      </c>
      <c r="B33" s="63" t="str">
        <f>VLOOKUP(A33,ZipToCntyTbl[#All],2,0)</f>
        <v>Brentwood</v>
      </c>
      <c r="C33" s="63" t="str">
        <f>VLOOKUP(A33,ZipToCntyTbl[#All],3,0)</f>
        <v>Prince Georges</v>
      </c>
      <c r="D33" s="63">
        <v>299</v>
      </c>
      <c r="E33" s="93">
        <f>UninsLT18to64[[#This Row],[Alternate Adj. Total]]*(UninsLT18to64[[#This Row],[Below 138% of FPL - Uninsured]]/UninsLT18to64[[#This Row],[Total]])</f>
        <v>136.91304722209588</v>
      </c>
      <c r="F33" s="96">
        <v>154</v>
      </c>
      <c r="G33" s="63">
        <v>145</v>
      </c>
      <c r="H33" s="93">
        <f>UninsLT18to64[[#This Row],[Alternate Adj. Total]]*(UninsLT18to64[[#This Row],[138 to 199% of FPL - Uninsured]]/UninsLT18to64[[#This Row],[Total]])</f>
        <v>66.395959355197007</v>
      </c>
      <c r="I33" s="96">
        <v>79</v>
      </c>
      <c r="J33" s="63">
        <v>398</v>
      </c>
      <c r="K33" s="93">
        <f>UninsLT18to64[[#This Row],[Alternate Adj. Total]]*(UninsLT18to64[[#This Row],[200 to 399% of FPL - Uninsured]]/UninsLT18to64[[#This Row],[Total]])</f>
        <v>182.24546085081661</v>
      </c>
      <c r="L33" s="96">
        <v>159</v>
      </c>
      <c r="M33" s="63">
        <v>331</v>
      </c>
      <c r="N33" s="93">
        <f>UninsLT18to64[[#This Row],[Alternate Adj. Total]]*(UninsLT18to64[[#This Row],[400% FPL and over - Uninsured]]/UninsLT18to64[[#This Row],[Total]])</f>
        <v>151.56594859703591</v>
      </c>
      <c r="O33" s="96">
        <v>140</v>
      </c>
      <c r="P33" s="64">
        <f>SUM(UninsLT18to64[[#This Row],[Below 138% of FPL - Uninsured]]+UninsLT18to64[[#This Row],[138 to 199% of FPL - Uninsured]]+UninsLT18to64[[#This Row],[200 to 399% of FPL - Uninsured]]+UninsLT18to64[[#This Row],[400% FPL and over - Uninsured]])</f>
        <v>1173</v>
      </c>
      <c r="Q33" s="83">
        <v>6.2079123555312941E-2</v>
      </c>
      <c r="R3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366.40000000000003</v>
      </c>
      <c r="S33" s="70">
        <f>IF(UninsLT18to64[[#This Row],[Total]]&lt;1000,UninsLT18to64[[#This Row],[Total]],MAX(VLOOKUP(UninsLT18to64[[#This Row],[ZIP Code]],IRSzipToCntyTbl[#All],3,0),(UninsLT18to64[[#This Row],[Total]]-(109811*(VLOOKUP(UninsLT18to64[[#This Row],[ZIP Code]],CitizenshipTbl[#All],4,0))))*0.8))</f>
        <v>537.12041602514546</v>
      </c>
      <c r="V33" s="71"/>
    </row>
    <row r="34" spans="1:22" x14ac:dyDescent="0.3">
      <c r="A34" s="62">
        <v>20723</v>
      </c>
      <c r="B34" s="63" t="str">
        <f>VLOOKUP(A34,ZipToCntyTbl[#All],2,0)</f>
        <v>Laurel</v>
      </c>
      <c r="C34" s="63" t="str">
        <f>VLOOKUP(A34,ZipToCntyTbl[#All],3,0)</f>
        <v>Howard</v>
      </c>
      <c r="D34" s="63">
        <v>532</v>
      </c>
      <c r="E34" s="93">
        <f>UninsLT18to64[[#This Row],[Alternate Adj. Total]]*(UninsLT18to64[[#This Row],[Below 138% of FPL - Uninsured]]/UninsLT18to64[[#This Row],[Total]])</f>
        <v>323.89136211457088</v>
      </c>
      <c r="F34" s="96">
        <v>444</v>
      </c>
      <c r="G34" s="63">
        <v>371</v>
      </c>
      <c r="H34" s="93">
        <f>UninsLT18to64[[#This Row],[Alternate Adj. Total]]*(UninsLT18to64[[#This Row],[138 to 199% of FPL - Uninsured]]/UninsLT18to64[[#This Row],[Total]])</f>
        <v>225.87160779042446</v>
      </c>
      <c r="I34" s="96">
        <v>226</v>
      </c>
      <c r="J34" s="63">
        <v>728</v>
      </c>
      <c r="K34" s="93">
        <f>UninsLT18to64[[#This Row],[Alternate Adj. Total]]*(UninsLT18to64[[#This Row],[200 to 399% of FPL - Uninsured]]/UninsLT18to64[[#This Row],[Total]])</f>
        <v>443.21975868309704</v>
      </c>
      <c r="L34" s="96">
        <v>319</v>
      </c>
      <c r="M34" s="63">
        <v>1149</v>
      </c>
      <c r="N34" s="93">
        <f>UninsLT18to64[[#This Row],[Alternate Adj. Total]]*(UninsLT18to64[[#This Row],[400% FPL and over - Uninsured]]/UninsLT18to64[[#This Row],[Total]])</f>
        <v>699.53228396549241</v>
      </c>
      <c r="O34" s="96">
        <v>461</v>
      </c>
      <c r="P34" s="64">
        <f>SUM(UninsLT18to64[[#This Row],[Below 138% of FPL - Uninsured]]+UninsLT18to64[[#This Row],[138 to 199% of FPL - Uninsured]]+UninsLT18to64[[#This Row],[200 to 399% of FPL - Uninsured]]+UninsLT18to64[[#This Row],[400% FPL and over - Uninsured]])</f>
        <v>2780</v>
      </c>
      <c r="Q34" s="83">
        <v>2.6193817241144633E-2</v>
      </c>
      <c r="R3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1466.4</v>
      </c>
      <c r="S34" s="70">
        <f>IF(UninsLT18to64[[#This Row],[Total]]&lt;1000,UninsLT18to64[[#This Row],[Total]],MAX(VLOOKUP(UninsLT18to64[[#This Row],[ZIP Code]],IRSzipToCntyTbl[#All],3,0),(UninsLT18to64[[#This Row],[Total]]-(109811*(VLOOKUP(UninsLT18to64[[#This Row],[ZIP Code]],CitizenshipTbl[#All],4,0))))*0.8))</f>
        <v>1692.5150125535847</v>
      </c>
      <c r="V34" s="71"/>
    </row>
    <row r="35" spans="1:22" x14ac:dyDescent="0.3">
      <c r="A35" s="62">
        <v>20724</v>
      </c>
      <c r="B35" s="63" t="str">
        <f>VLOOKUP(A35,ZipToCntyTbl[#All],2,0)</f>
        <v>Laurel</v>
      </c>
      <c r="C35" s="63" t="str">
        <f>VLOOKUP(A35,ZipToCntyTbl[#All],3,0)</f>
        <v>Anne Arundel</v>
      </c>
      <c r="D35" s="63">
        <v>378</v>
      </c>
      <c r="E35" s="93">
        <f>UninsLT18to64[[#This Row],[Alternate Adj. Total]]*(UninsLT18to64[[#This Row],[Below 138% of FPL - Uninsured]]/UninsLT18to64[[#This Row],[Total]])</f>
        <v>197.36663744202528</v>
      </c>
      <c r="F35" s="96">
        <v>414</v>
      </c>
      <c r="G35" s="63">
        <v>47</v>
      </c>
      <c r="H35" s="93">
        <f>UninsLT18to64[[#This Row],[Alternate Adj. Total]]*(UninsLT18to64[[#This Row],[138 to 199% of FPL - Uninsured]]/UninsLT18to64[[#This Row],[Total]])</f>
        <v>24.540296189881449</v>
      </c>
      <c r="I35" s="96">
        <v>70</v>
      </c>
      <c r="J35" s="63">
        <v>237</v>
      </c>
      <c r="K35" s="93">
        <f>UninsLT18to64[[#This Row],[Alternate Adj. Total]]*(UninsLT18to64[[#This Row],[200 to 399% of FPL - Uninsured]]/UninsLT18to64[[#This Row],[Total]])</f>
        <v>123.74574887238093</v>
      </c>
      <c r="L35" s="96">
        <v>209</v>
      </c>
      <c r="M35" s="63">
        <v>665</v>
      </c>
      <c r="N35" s="93">
        <f>UninsLT18to64[[#This Row],[Alternate Adj. Total]]*(UninsLT18to64[[#This Row],[400% FPL and over - Uninsured]]/UninsLT18to64[[#This Row],[Total]])</f>
        <v>347.21908438874812</v>
      </c>
      <c r="O35" s="96">
        <v>459</v>
      </c>
      <c r="P35" s="64">
        <f>SUM(UninsLT18to64[[#This Row],[Below 138% of FPL - Uninsured]]+UninsLT18to64[[#This Row],[138 to 199% of FPL - Uninsured]]+UninsLT18to64[[#This Row],[200 to 399% of FPL - Uninsured]]+UninsLT18to64[[#This Row],[400% FPL and over - Uninsured]])</f>
        <v>1327</v>
      </c>
      <c r="Q35" s="83">
        <v>5.487476407715304E-2</v>
      </c>
      <c r="R3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536</v>
      </c>
      <c r="S35" s="70">
        <f>IF(UninsLT18to64[[#This Row],[Total]]&lt;1000,UninsLT18to64[[#This Row],[Total]],MAX(VLOOKUP(UninsLT18to64[[#This Row],[ZIP Code]],IRSzipToCntyTbl[#All],3,0),(UninsLT18to64[[#This Row],[Total]]-(109811*(VLOOKUP(UninsLT18to64[[#This Row],[ZIP Code]],CitizenshipTbl[#All],4,0))))*0.8))</f>
        <v>692.87176689303578</v>
      </c>
      <c r="V35" s="71"/>
    </row>
    <row r="36" spans="1:22" x14ac:dyDescent="0.3">
      <c r="A36" s="62">
        <v>20732</v>
      </c>
      <c r="B36" s="63" t="str">
        <f>VLOOKUP(A36,ZipToCntyTbl[#All],2,0)</f>
        <v>Chesapeake Beach</v>
      </c>
      <c r="C36" s="63" t="str">
        <f>VLOOKUP(A36,ZipToCntyTbl[#All],3,0)</f>
        <v>Calvert</v>
      </c>
      <c r="D36" s="63">
        <v>237</v>
      </c>
      <c r="E36" s="93">
        <f>UninsLT18to64[[#This Row],[Alternate Adj. Total]]*(UninsLT18to64[[#This Row],[Below 138% of FPL - Uninsured]]/UninsLT18to64[[#This Row],[Total]])</f>
        <v>237</v>
      </c>
      <c r="F36" s="96">
        <v>243</v>
      </c>
      <c r="G36" s="63">
        <v>40</v>
      </c>
      <c r="H36" s="93">
        <f>UninsLT18to64[[#This Row],[Alternate Adj. Total]]*(UninsLT18to64[[#This Row],[138 to 199% of FPL - Uninsured]]/UninsLT18to64[[#This Row],[Total]])</f>
        <v>40</v>
      </c>
      <c r="I36" s="96">
        <v>59</v>
      </c>
      <c r="J36" s="63">
        <v>119</v>
      </c>
      <c r="K36" s="93">
        <f>UninsLT18to64[[#This Row],[Alternate Adj. Total]]*(UninsLT18to64[[#This Row],[200 to 399% of FPL - Uninsured]]/UninsLT18to64[[#This Row],[Total]])</f>
        <v>119</v>
      </c>
      <c r="L36" s="96">
        <v>102</v>
      </c>
      <c r="M36" s="63">
        <v>93</v>
      </c>
      <c r="N36" s="93">
        <f>UninsLT18to64[[#This Row],[Alternate Adj. Total]]*(UninsLT18to64[[#This Row],[400% FPL and over - Uninsured]]/UninsLT18to64[[#This Row],[Total]])</f>
        <v>93</v>
      </c>
      <c r="O36" s="96">
        <v>71</v>
      </c>
      <c r="P36" s="64">
        <f>SUM(UninsLT18to64[[#This Row],[Below 138% of FPL - Uninsured]]+UninsLT18to64[[#This Row],[138 to 199% of FPL - Uninsured]]+UninsLT18to64[[#This Row],[200 to 399% of FPL - Uninsured]]+UninsLT18to64[[#This Row],[400% FPL and over - Uninsured]])</f>
        <v>489</v>
      </c>
      <c r="Q36" s="83">
        <v>0.14891372582900222</v>
      </c>
      <c r="R3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489</v>
      </c>
      <c r="S36" s="70">
        <f>IF(UninsLT18to64[[#This Row],[Total]]&lt;1000,UninsLT18to64[[#This Row],[Total]],MAX(VLOOKUP(UninsLT18to64[[#This Row],[ZIP Code]],IRSzipToCntyTbl[#All],3,0),(UninsLT18to64[[#This Row],[Total]]-(109811*(VLOOKUP(UninsLT18to64[[#This Row],[ZIP Code]],CitizenshipTbl[#All],4,0))))*0.8))</f>
        <v>489</v>
      </c>
      <c r="V36" s="71"/>
    </row>
    <row r="37" spans="1:22" x14ac:dyDescent="0.3">
      <c r="A37" s="62">
        <v>20735</v>
      </c>
      <c r="B37" s="63" t="str">
        <f>VLOOKUP(A37,ZipToCntyTbl[#All],2,0)</f>
        <v>Clinton</v>
      </c>
      <c r="C37" s="63" t="str">
        <f>VLOOKUP(A37,ZipToCntyTbl[#All],3,0)</f>
        <v>Prince Georges</v>
      </c>
      <c r="D37" s="63">
        <v>607</v>
      </c>
      <c r="E37" s="93">
        <f>UninsLT18to64[[#This Row],[Alternate Adj. Total]]*(UninsLT18to64[[#This Row],[Below 138% of FPL - Uninsured]]/UninsLT18to64[[#This Row],[Total]])</f>
        <v>445.3989443141237</v>
      </c>
      <c r="F37" s="96">
        <v>480</v>
      </c>
      <c r="G37" s="63">
        <v>106</v>
      </c>
      <c r="H37" s="93">
        <f>UninsLT18to64[[#This Row],[Alternate Adj. Total]]*(UninsLT18to64[[#This Row],[138 to 199% of FPL - Uninsured]]/UninsLT18to64[[#This Row],[Total]])</f>
        <v>77.779716799501003</v>
      </c>
      <c r="I37" s="96">
        <v>110</v>
      </c>
      <c r="J37" s="63">
        <v>603</v>
      </c>
      <c r="K37" s="93">
        <f>UninsLT18to64[[#This Row],[Alternate Adj. Total]]*(UninsLT18to64[[#This Row],[200 to 399% of FPL - Uninsured]]/UninsLT18to64[[#This Row],[Total]])</f>
        <v>442.46386066131231</v>
      </c>
      <c r="L37" s="96">
        <v>271</v>
      </c>
      <c r="M37" s="63">
        <v>972</v>
      </c>
      <c r="N37" s="93">
        <f>UninsLT18to64[[#This Row],[Alternate Adj. Total]]*(UninsLT18to64[[#This Row],[400% FPL and over - Uninsured]]/UninsLT18to64[[#This Row],[Total]])</f>
        <v>713.22532763316019</v>
      </c>
      <c r="O37" s="96">
        <v>303</v>
      </c>
      <c r="P37" s="64">
        <f>SUM(UninsLT18to64[[#This Row],[Below 138% of FPL - Uninsured]]+UninsLT18to64[[#This Row],[138 to 199% of FPL - Uninsured]]+UninsLT18to64[[#This Row],[200 to 399% of FPL - Uninsured]]+UninsLT18to64[[#This Row],[400% FPL and over - Uninsured]])</f>
        <v>2288</v>
      </c>
      <c r="Q37" s="83">
        <v>3.1826403815726434E-2</v>
      </c>
      <c r="R3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1614.4</v>
      </c>
      <c r="S37" s="70">
        <f>IF(UninsLT18to64[[#This Row],[Total]]&lt;1000,UninsLT18to64[[#This Row],[Total]],MAX(VLOOKUP(UninsLT18to64[[#This Row],[ZIP Code]],IRSzipToCntyTbl[#All],3,0),(UninsLT18to64[[#This Row],[Total]]-(109811*(VLOOKUP(UninsLT18to64[[#This Row],[ZIP Code]],CitizenshipTbl[#All],4,0))))*0.8))</f>
        <v>1678.8678494080971</v>
      </c>
      <c r="V37" s="71"/>
    </row>
    <row r="38" spans="1:22" x14ac:dyDescent="0.3">
      <c r="A38" s="62">
        <v>20737</v>
      </c>
      <c r="B38" s="63" t="str">
        <f>VLOOKUP(A38,ZipToCntyTbl[#All],2,0)</f>
        <v>Riverdale</v>
      </c>
      <c r="C38" s="63" t="str">
        <f>VLOOKUP(A38,ZipToCntyTbl[#All],3,0)</f>
        <v>Prince Georges</v>
      </c>
      <c r="D38" s="63">
        <v>1545</v>
      </c>
      <c r="E38" s="93">
        <f>UninsLT18to64[[#This Row],[Alternate Adj. Total]]*(UninsLT18to64[[#This Row],[Below 138% of FPL - Uninsured]]/UninsLT18to64[[#This Row],[Total]])</f>
        <v>579.40322784606178</v>
      </c>
      <c r="F38" s="96">
        <v>608</v>
      </c>
      <c r="G38" s="63">
        <v>1252</v>
      </c>
      <c r="H38" s="93">
        <f>UninsLT18to64[[#This Row],[Alternate Adj. Total]]*(UninsLT18to64[[#This Row],[138 to 199% of FPL - Uninsured]]/UninsLT18to64[[#This Row],[Total]])</f>
        <v>469.52287460405785</v>
      </c>
      <c r="I38" s="96">
        <v>378</v>
      </c>
      <c r="J38" s="63">
        <v>2155</v>
      </c>
      <c r="K38" s="93">
        <f>UninsLT18to64[[#This Row],[Alternate Adj. Total]]*(UninsLT18to64[[#This Row],[200 to 399% of FPL - Uninsured]]/UninsLT18to64[[#This Row],[Total]])</f>
        <v>808.16437282088225</v>
      </c>
      <c r="L38" s="96">
        <v>525</v>
      </c>
      <c r="M38" s="63">
        <v>786</v>
      </c>
      <c r="N38" s="93">
        <f>UninsLT18to64[[#This Row],[Alternate Adj. Total]]*(UninsLT18to64[[#This Row],[400% FPL and over - Uninsured]]/UninsLT18to64[[#This Row],[Total]])</f>
        <v>294.76436057411303</v>
      </c>
      <c r="O38" s="96">
        <v>326</v>
      </c>
      <c r="P38" s="64">
        <f>SUM(UninsLT18to64[[#This Row],[Below 138% of FPL - Uninsured]]+UninsLT18to64[[#This Row],[138 to 199% of FPL - Uninsured]]+UninsLT18to64[[#This Row],[200 to 399% of FPL - Uninsured]]+UninsLT18to64[[#This Row],[400% FPL and over - Uninsured]])</f>
        <v>5738</v>
      </c>
      <c r="Q38" s="83">
        <v>1.2690625989958536E-2</v>
      </c>
      <c r="R3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1114.4000000000001</v>
      </c>
      <c r="S38" s="70">
        <f>IF(UninsLT18to64[[#This Row],[Total]]&lt;1000,UninsLT18to64[[#This Row],[Total]],MAX(VLOOKUP(UninsLT18to64[[#This Row],[ZIP Code]],IRSzipToCntyTbl[#All],3,0),(UninsLT18to64[[#This Row],[Total]]-(109811*(VLOOKUP(UninsLT18to64[[#This Row],[ZIP Code]],CitizenshipTbl[#All],4,0))))*0.8))</f>
        <v>2151.8548358451148</v>
      </c>
      <c r="V38" s="71"/>
    </row>
    <row r="39" spans="1:22" x14ac:dyDescent="0.3">
      <c r="A39" s="62">
        <v>20740</v>
      </c>
      <c r="B39" s="63" t="str">
        <f>VLOOKUP(A39,ZipToCntyTbl[#All],2,0)</f>
        <v>College Park</v>
      </c>
      <c r="C39" s="63" t="str">
        <f>VLOOKUP(A39,ZipToCntyTbl[#All],3,0)</f>
        <v>Prince Georges</v>
      </c>
      <c r="D39" s="63">
        <v>961</v>
      </c>
      <c r="E39" s="93">
        <f>UninsLT18to64[[#This Row],[Alternate Adj. Total]]*(UninsLT18to64[[#This Row],[Below 138% of FPL - Uninsured]]/UninsLT18to64[[#This Row],[Total]])</f>
        <v>493.50081035352792</v>
      </c>
      <c r="F39" s="96">
        <v>341</v>
      </c>
      <c r="G39" s="63">
        <v>488</v>
      </c>
      <c r="H39" s="93">
        <f>UninsLT18to64[[#This Row],[Alternate Adj. Total]]*(UninsLT18to64[[#This Row],[138 to 199% of FPL - Uninsured]]/UninsLT18to64[[#This Row],[Total]])</f>
        <v>250.60186831687994</v>
      </c>
      <c r="I39" s="96">
        <v>239</v>
      </c>
      <c r="J39" s="63">
        <v>1039</v>
      </c>
      <c r="K39" s="93">
        <f>UninsLT18to64[[#This Row],[Alternate Adj. Total]]*(UninsLT18to64[[#This Row],[200 to 399% of FPL - Uninsured]]/UninsLT18to64[[#This Row],[Total]])</f>
        <v>533.55602701073417</v>
      </c>
      <c r="L39" s="96">
        <v>430</v>
      </c>
      <c r="M39" s="63">
        <v>339</v>
      </c>
      <c r="N39" s="93">
        <f>UninsLT18to64[[#This Row],[Alternate Adj. Total]]*(UninsLT18to64[[#This Row],[400% FPL and over - Uninsured]]/UninsLT18to64[[#This Row],[Total]])</f>
        <v>174.08613393324242</v>
      </c>
      <c r="O39" s="96">
        <v>175</v>
      </c>
      <c r="P39" s="64">
        <f>SUM(UninsLT18to64[[#This Row],[Below 138% of FPL - Uninsured]]+UninsLT18to64[[#This Row],[138 to 199% of FPL - Uninsured]]+UninsLT18to64[[#This Row],[200 to 399% of FPL - Uninsured]]+UninsLT18to64[[#This Row],[400% FPL and over - Uninsured]])</f>
        <v>2827</v>
      </c>
      <c r="Q39" s="83">
        <v>2.5758334605724117E-2</v>
      </c>
      <c r="R3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1107.2</v>
      </c>
      <c r="S39" s="70">
        <f>IF(UninsLT18to64[[#This Row],[Total]]&lt;1000,UninsLT18to64[[#This Row],[Total]],MAX(VLOOKUP(UninsLT18to64[[#This Row],[ZIP Code]],IRSzipToCntyTbl[#All],3,0),(UninsLT18to64[[#This Row],[Total]]-(109811*(VLOOKUP(UninsLT18to64[[#This Row],[ZIP Code]],CitizenshipTbl[#All],4,0))))*0.8))</f>
        <v>1451.7448396143845</v>
      </c>
      <c r="V39" s="71"/>
    </row>
    <row r="40" spans="1:22" x14ac:dyDescent="0.3">
      <c r="A40" s="62">
        <v>20743</v>
      </c>
      <c r="B40" s="63" t="str">
        <f>VLOOKUP(A40,ZipToCntyTbl[#All],2,0)</f>
        <v>Capitol Heights</v>
      </c>
      <c r="C40" s="63" t="str">
        <f>VLOOKUP(A40,ZipToCntyTbl[#All],3,0)</f>
        <v>Prince Georges</v>
      </c>
      <c r="D40" s="63">
        <v>1195</v>
      </c>
      <c r="E40" s="93">
        <f>UninsLT18to64[[#This Row],[Alternate Adj. Total]]*(UninsLT18to64[[#This Row],[Below 138% of FPL - Uninsured]]/UninsLT18to64[[#This Row],[Total]])</f>
        <v>767.69709093750009</v>
      </c>
      <c r="F40" s="96">
        <v>551</v>
      </c>
      <c r="G40" s="63">
        <v>644</v>
      </c>
      <c r="H40" s="93">
        <f>UninsLT18to64[[#This Row],[Alternate Adj. Total]]*(UninsLT18to64[[#This Row],[138 to 199% of FPL - Uninsured]]/UninsLT18to64[[#This Row],[Total]])</f>
        <v>413.72127745920511</v>
      </c>
      <c r="I40" s="96">
        <v>288</v>
      </c>
      <c r="J40" s="63">
        <v>1518</v>
      </c>
      <c r="K40" s="93">
        <f>UninsLT18to64[[#This Row],[Alternate Adj. Total]]*(UninsLT18to64[[#This Row],[200 to 399% of FPL - Uninsured]]/UninsLT18to64[[#This Row],[Total]])</f>
        <v>975.2001540109834</v>
      </c>
      <c r="L40" s="96">
        <v>386</v>
      </c>
      <c r="M40" s="63">
        <v>860</v>
      </c>
      <c r="N40" s="93">
        <f>UninsLT18to64[[#This Row],[Alternate Adj. Total]]*(UninsLT18to64[[#This Row],[400% FPL and over - Uninsured]]/UninsLT18to64[[#This Row],[Total]])</f>
        <v>552.48493573744781</v>
      </c>
      <c r="O40" s="96">
        <v>248</v>
      </c>
      <c r="P40" s="64">
        <f>SUM(UninsLT18to64[[#This Row],[Below 138% of FPL - Uninsured]]+UninsLT18to64[[#This Row],[138 to 199% of FPL - Uninsured]]+UninsLT18to64[[#This Row],[200 to 399% of FPL - Uninsured]]+UninsLT18to64[[#This Row],[400% FPL and over - Uninsured]])</f>
        <v>4217</v>
      </c>
      <c r="Q40" s="83">
        <v>1.7267918408912043E-2</v>
      </c>
      <c r="R4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2426.4</v>
      </c>
      <c r="S40" s="70">
        <f>IF(UninsLT18to64[[#This Row],[Total]]&lt;1000,UninsLT18to64[[#This Row],[Total]],MAX(VLOOKUP(UninsLT18to64[[#This Row],[ZIP Code]],IRSzipToCntyTbl[#All],3,0),(UninsLT18to64[[#This Row],[Total]]-(109811*(VLOOKUP(UninsLT18to64[[#This Row],[ZIP Code]],CitizenshipTbl[#All],4,0))))*0.8))</f>
        <v>2709.1034581451363</v>
      </c>
      <c r="V40" s="71"/>
    </row>
    <row r="41" spans="1:22" x14ac:dyDescent="0.3">
      <c r="A41" s="62">
        <v>20744</v>
      </c>
      <c r="B41" s="63" t="str">
        <f>VLOOKUP(A41,ZipToCntyTbl[#All],2,0)</f>
        <v>Fort Washington</v>
      </c>
      <c r="C41" s="63" t="str">
        <f>VLOOKUP(A41,ZipToCntyTbl[#All],3,0)</f>
        <v>Prince Georges</v>
      </c>
      <c r="D41" s="63">
        <v>1407</v>
      </c>
      <c r="E41" s="93">
        <f>UninsLT18to64[[#This Row],[Alternate Adj. Total]]*(UninsLT18to64[[#This Row],[Below 138% of FPL - Uninsured]]/UninsLT18to64[[#This Row],[Total]])</f>
        <v>834.47922711212618</v>
      </c>
      <c r="F41" s="96">
        <v>845</v>
      </c>
      <c r="G41" s="63">
        <v>405</v>
      </c>
      <c r="H41" s="93">
        <f>UninsLT18to64[[#This Row],[Alternate Adj. Total]]*(UninsLT18to64[[#This Row],[138 to 199% of FPL - Uninsured]]/UninsLT18to64[[#This Row],[Total]])</f>
        <v>240.2019097231067</v>
      </c>
      <c r="I41" s="96">
        <v>194</v>
      </c>
      <c r="J41" s="63">
        <v>1761</v>
      </c>
      <c r="K41" s="93">
        <f>UninsLT18to64[[#This Row],[Alternate Adj. Total]]*(UninsLT18to64[[#This Row],[200 to 399% of FPL - Uninsured]]/UninsLT18to64[[#This Row],[Total]])</f>
        <v>1044.4334889441752</v>
      </c>
      <c r="L41" s="96">
        <v>536</v>
      </c>
      <c r="M41" s="63">
        <v>1285</v>
      </c>
      <c r="N41" s="93">
        <f>UninsLT18to64[[#This Row],[Alternate Adj. Total]]*(UninsLT18to64[[#This Row],[400% FPL and over - Uninsured]]/UninsLT18to64[[#This Row],[Total]])</f>
        <v>762.12210862763493</v>
      </c>
      <c r="O41" s="96">
        <v>419</v>
      </c>
      <c r="P41" s="64">
        <f>SUM(UninsLT18to64[[#This Row],[Below 138% of FPL - Uninsured]]+UninsLT18to64[[#This Row],[138 to 199% of FPL - Uninsured]]+UninsLT18to64[[#This Row],[200 to 399% of FPL - Uninsured]]+UninsLT18to64[[#This Row],[400% FPL and over - Uninsured]])</f>
        <v>4858</v>
      </c>
      <c r="Q41" s="83">
        <v>1.4989463139230564E-2</v>
      </c>
      <c r="R4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2453.6</v>
      </c>
      <c r="S41" s="70">
        <f>IF(UninsLT18to64[[#This Row],[Total]]&lt;1000,UninsLT18to64[[#This Row],[Total]],MAX(VLOOKUP(UninsLT18to64[[#This Row],[ZIP Code]],IRSzipToCntyTbl[#All],3,0),(UninsLT18to64[[#This Row],[Total]]-(109811*(VLOOKUP(UninsLT18to64[[#This Row],[ZIP Code]],CitizenshipTbl[#All],4,0))))*0.8))</f>
        <v>2881.2367344070431</v>
      </c>
      <c r="V41" s="71"/>
    </row>
    <row r="42" spans="1:22" x14ac:dyDescent="0.3">
      <c r="A42" s="62">
        <v>20745</v>
      </c>
      <c r="B42" s="63" t="str">
        <f>VLOOKUP(A42,ZipToCntyTbl[#All],2,0)</f>
        <v>Oxon Hill</v>
      </c>
      <c r="C42" s="63" t="str">
        <f>VLOOKUP(A42,ZipToCntyTbl[#All],3,0)</f>
        <v>Prince Georges</v>
      </c>
      <c r="D42" s="63">
        <v>1214</v>
      </c>
      <c r="E42" s="93">
        <f>UninsLT18to64[[#This Row],[Alternate Adj. Total]]*(UninsLT18to64[[#This Row],[Below 138% of FPL - Uninsured]]/UninsLT18to64[[#This Row],[Total]])</f>
        <v>615.13969149574541</v>
      </c>
      <c r="F42" s="96">
        <v>683</v>
      </c>
      <c r="G42" s="63">
        <v>1064</v>
      </c>
      <c r="H42" s="93">
        <f>UninsLT18to64[[#This Row],[Alternate Adj. Total]]*(UninsLT18to64[[#This Row],[138 to 199% of FPL - Uninsured]]/UninsLT18to64[[#This Row],[Total]])</f>
        <v>539.13396355146062</v>
      </c>
      <c r="I42" s="96">
        <v>502</v>
      </c>
      <c r="J42" s="63">
        <v>1700</v>
      </c>
      <c r="K42" s="93">
        <f>UninsLT18to64[[#This Row],[Alternate Adj. Total]]*(UninsLT18to64[[#This Row],[200 to 399% of FPL - Uninsured]]/UninsLT18to64[[#This Row],[Total]])</f>
        <v>861.39825003522833</v>
      </c>
      <c r="L42" s="96">
        <v>515</v>
      </c>
      <c r="M42" s="63">
        <v>603</v>
      </c>
      <c r="N42" s="93">
        <f>UninsLT18to64[[#This Row],[Alternate Adj. Total]]*(UninsLT18to64[[#This Row],[400% FPL and over - Uninsured]]/UninsLT18to64[[#This Row],[Total]])</f>
        <v>305.54302633602509</v>
      </c>
      <c r="O42" s="96">
        <v>264</v>
      </c>
      <c r="P42" s="64">
        <f>SUM(UninsLT18to64[[#This Row],[Below 138% of FPL - Uninsured]]+UninsLT18to64[[#This Row],[138 to 199% of FPL - Uninsured]]+UninsLT18to64[[#This Row],[200 to 399% of FPL - Uninsured]]+UninsLT18to64[[#This Row],[400% FPL and over - Uninsured]])</f>
        <v>4581</v>
      </c>
      <c r="Q42" s="83">
        <v>1.5895833208989758E-2</v>
      </c>
      <c r="R4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1749.6000000000001</v>
      </c>
      <c r="S42" s="70">
        <f>IF(UninsLT18to64[[#This Row],[Total]]&lt;1000,UninsLT18to64[[#This Row],[Total]],MAX(VLOOKUP(UninsLT18to64[[#This Row],[ZIP Code]],IRSzipToCntyTbl[#All],3,0),(UninsLT18to64[[#This Row],[Total]]-(109811*(VLOOKUP(UninsLT18to64[[#This Row],[ZIP Code]],CitizenshipTbl[#All],4,0))))*0.8))</f>
        <v>2321.2149314184594</v>
      </c>
      <c r="V42" s="71"/>
    </row>
    <row r="43" spans="1:22" x14ac:dyDescent="0.3">
      <c r="A43" s="62">
        <v>20746</v>
      </c>
      <c r="B43" s="63" t="str">
        <f>VLOOKUP(A43,ZipToCntyTbl[#All],2,0)</f>
        <v>Suitland</v>
      </c>
      <c r="C43" s="63" t="str">
        <f>VLOOKUP(A43,ZipToCntyTbl[#All],3,0)</f>
        <v>Prince Georges</v>
      </c>
      <c r="D43" s="63">
        <v>459</v>
      </c>
      <c r="E43" s="93">
        <f>UninsLT18to64[[#This Row],[Alternate Adj. Total]]*(UninsLT18to64[[#This Row],[Below 138% of FPL - Uninsured]]/UninsLT18to64[[#This Row],[Total]])</f>
        <v>289.72848906085545</v>
      </c>
      <c r="F43" s="96">
        <v>298</v>
      </c>
      <c r="G43" s="63">
        <v>465</v>
      </c>
      <c r="H43" s="93">
        <f>UninsLT18to64[[#This Row],[Alternate Adj. Total]]*(UninsLT18to64[[#This Row],[138 to 199% of FPL - Uninsured]]/UninsLT18to64[[#This Row],[Total]])</f>
        <v>293.51578957145483</v>
      </c>
      <c r="I43" s="96">
        <v>371</v>
      </c>
      <c r="J43" s="63">
        <v>1133</v>
      </c>
      <c r="K43" s="93">
        <f>UninsLT18to64[[#This Row],[Alternate Adj. Total]]*(UninsLT18to64[[#This Row],[200 to 399% of FPL - Uninsured]]/UninsLT18to64[[#This Row],[Total]])</f>
        <v>715.16857975152334</v>
      </c>
      <c r="L43" s="96">
        <v>396</v>
      </c>
      <c r="M43" s="63">
        <v>653</v>
      </c>
      <c r="N43" s="93">
        <f>UninsLT18to64[[#This Row],[Alternate Adj. Total]]*(UninsLT18to64[[#This Row],[400% FPL and over - Uninsured]]/UninsLT18to64[[#This Row],[Total]])</f>
        <v>412.18453890356994</v>
      </c>
      <c r="O43" s="96">
        <v>293</v>
      </c>
      <c r="P43" s="64">
        <f>SUM(UninsLT18to64[[#This Row],[Below 138% of FPL - Uninsured]]+UninsLT18to64[[#This Row],[138 to 199% of FPL - Uninsured]]+UninsLT18to64[[#This Row],[200 to 399% of FPL - Uninsured]]+UninsLT18to64[[#This Row],[400% FPL and over - Uninsured]])</f>
        <v>2710</v>
      </c>
      <c r="Q43" s="83">
        <v>2.6870410306414051E-2</v>
      </c>
      <c r="R4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1516</v>
      </c>
      <c r="S43" s="70">
        <f>IF(UninsLT18to64[[#This Row],[Total]]&lt;1000,UninsLT18to64[[#This Row],[Total]],MAX(VLOOKUP(UninsLT18to64[[#This Row],[ZIP Code]],IRSzipToCntyTbl[#All],3,0),(UninsLT18to64[[#This Row],[Total]]-(109811*(VLOOKUP(UninsLT18to64[[#This Row],[ZIP Code]],CitizenshipTbl[#All],4,0))))*0.8))</f>
        <v>1710.5973972874035</v>
      </c>
      <c r="V43" s="71"/>
    </row>
    <row r="44" spans="1:22" x14ac:dyDescent="0.3">
      <c r="A44" s="62">
        <v>20747</v>
      </c>
      <c r="B44" s="63" t="str">
        <f>VLOOKUP(A44,ZipToCntyTbl[#All],2,0)</f>
        <v>District Heights</v>
      </c>
      <c r="C44" s="63" t="str">
        <f>VLOOKUP(A44,ZipToCntyTbl[#All],3,0)</f>
        <v>Prince Georges</v>
      </c>
      <c r="D44" s="63">
        <v>673</v>
      </c>
      <c r="E44" s="93">
        <f>UninsLT18to64[[#This Row],[Alternate Adj. Total]]*(UninsLT18to64[[#This Row],[Below 138% of FPL - Uninsured]]/UninsLT18to64[[#This Row],[Total]])</f>
        <v>450.07265191705989</v>
      </c>
      <c r="F44" s="96">
        <v>379</v>
      </c>
      <c r="G44" s="63">
        <v>389</v>
      </c>
      <c r="H44" s="93">
        <f>UninsLT18to64[[#This Row],[Alternate Adj. Total]]*(UninsLT18to64[[#This Row],[138 to 199% of FPL - Uninsured]]/UninsLT18to64[[#This Row],[Total]])</f>
        <v>260.14600534284739</v>
      </c>
      <c r="I44" s="96">
        <v>143</v>
      </c>
      <c r="J44" s="63">
        <v>1207</v>
      </c>
      <c r="K44" s="93">
        <f>UninsLT18to64[[#This Row],[Alternate Adj. Total]]*(UninsLT18to64[[#This Row],[200 to 399% of FPL - Uninsured]]/UninsLT18to64[[#This Row],[Total]])</f>
        <v>807.18824794040313</v>
      </c>
      <c r="L44" s="96">
        <v>340</v>
      </c>
      <c r="M44" s="63">
        <v>951</v>
      </c>
      <c r="N44" s="93">
        <f>UninsLT18to64[[#This Row],[Alternate Adj. Total]]*(UninsLT18to64[[#This Row],[400% FPL and over - Uninsured]]/UninsLT18to64[[#This Row],[Total]])</f>
        <v>635.98676370449323</v>
      </c>
      <c r="O44" s="96">
        <v>332</v>
      </c>
      <c r="P44" s="64">
        <f>SUM(UninsLT18to64[[#This Row],[Below 138% of FPL - Uninsured]]+UninsLT18to64[[#This Row],[138 to 199% of FPL - Uninsured]]+UninsLT18to64[[#This Row],[200 to 399% of FPL - Uninsured]]+UninsLT18to64[[#This Row],[400% FPL and over - Uninsured]])</f>
        <v>3220</v>
      </c>
      <c r="Q44" s="83">
        <v>2.2614537866578285E-2</v>
      </c>
      <c r="R4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1973.6000000000001</v>
      </c>
      <c r="S44" s="70">
        <f>IF(UninsLT18to64[[#This Row],[Total]]&lt;1000,UninsLT18to64[[#This Row],[Total]],MAX(VLOOKUP(UninsLT18to64[[#This Row],[ZIP Code]],IRSzipToCntyTbl[#All],3,0),(UninsLT18to64[[#This Row],[Total]]-(109811*(VLOOKUP(UninsLT18to64[[#This Row],[ZIP Code]],CitizenshipTbl[#All],4,0))))*0.8))</f>
        <v>2153.3936689048037</v>
      </c>
      <c r="V44" s="71"/>
    </row>
    <row r="45" spans="1:22" x14ac:dyDescent="0.3">
      <c r="A45" s="62">
        <v>20748</v>
      </c>
      <c r="B45" s="63" t="str">
        <f>VLOOKUP(A45,ZipToCntyTbl[#All],2,0)</f>
        <v>Temple Hills</v>
      </c>
      <c r="C45" s="63" t="str">
        <f>VLOOKUP(A45,ZipToCntyTbl[#All],3,0)</f>
        <v>Prince Georges</v>
      </c>
      <c r="D45" s="63">
        <v>663</v>
      </c>
      <c r="E45" s="93">
        <f>UninsLT18to64[[#This Row],[Alternate Adj. Total]]*(UninsLT18to64[[#This Row],[Below 138% of FPL - Uninsured]]/UninsLT18to64[[#This Row],[Total]])</f>
        <v>467.08144646719734</v>
      </c>
      <c r="F45" s="96">
        <v>334</v>
      </c>
      <c r="G45" s="63">
        <v>332</v>
      </c>
      <c r="H45" s="93">
        <f>UninsLT18to64[[#This Row],[Alternate Adj. Total]]*(UninsLT18to64[[#This Row],[138 to 199% of FPL - Uninsured]]/UninsLT18to64[[#This Row],[Total]])</f>
        <v>233.89297168493141</v>
      </c>
      <c r="I45" s="96">
        <v>189</v>
      </c>
      <c r="J45" s="63">
        <v>974</v>
      </c>
      <c r="K45" s="93">
        <f>UninsLT18to64[[#This Row],[Alternate Adj. Total]]*(UninsLT18to64[[#This Row],[200 to 399% of FPL - Uninsured]]/UninsLT18to64[[#This Row],[Total]])</f>
        <v>686.17998319615413</v>
      </c>
      <c r="L45" s="96">
        <v>278</v>
      </c>
      <c r="M45" s="63">
        <v>1316</v>
      </c>
      <c r="N45" s="93">
        <f>UninsLT18to64[[#This Row],[Alternate Adj. Total]]*(UninsLT18to64[[#This Row],[400% FPL and over - Uninsured]]/UninsLT18to64[[#This Row],[Total]])</f>
        <v>927.11792390774019</v>
      </c>
      <c r="O45" s="96">
        <v>392</v>
      </c>
      <c r="P45" s="64">
        <f>SUM(UninsLT18to64[[#This Row],[Below 138% of FPL - Uninsured]]+UninsLT18to64[[#This Row],[138 to 199% of FPL - Uninsured]]+UninsLT18to64[[#This Row],[200 to 399% of FPL - Uninsured]]+UninsLT18to64[[#This Row],[400% FPL and over - Uninsured]])</f>
        <v>3285</v>
      </c>
      <c r="Q45" s="83">
        <v>2.2167066036645991E-2</v>
      </c>
      <c r="R4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2180.8000000000002</v>
      </c>
      <c r="S45" s="70">
        <f>IF(UninsLT18to64[[#This Row],[Total]]&lt;1000,UninsLT18to64[[#This Row],[Total]],MAX(VLOOKUP(UninsLT18to64[[#This Row],[ZIP Code]],IRSzipToCntyTbl[#All],3,0),(UninsLT18to64[[#This Row],[Total]]-(109811*(VLOOKUP(UninsLT18to64[[#This Row],[ZIP Code]],CitizenshipTbl[#All],4,0))))*0.8))</f>
        <v>2314.2723252560231</v>
      </c>
      <c r="V45" s="71"/>
    </row>
    <row r="46" spans="1:22" x14ac:dyDescent="0.3">
      <c r="A46" s="62">
        <v>20754</v>
      </c>
      <c r="B46" s="63" t="str">
        <f>VLOOKUP(A46,ZipToCntyTbl[#All],2,0)</f>
        <v>Dunkirk</v>
      </c>
      <c r="C46" s="63" t="str">
        <f>VLOOKUP(A46,ZipToCntyTbl[#All],3,0)</f>
        <v>Calvert</v>
      </c>
      <c r="D46" s="63">
        <v>116</v>
      </c>
      <c r="E46" s="93">
        <f>UninsLT18to64[[#This Row],[Alternate Adj. Total]]*(UninsLT18to64[[#This Row],[Below 138% of FPL - Uninsured]]/UninsLT18to64[[#This Row],[Total]])</f>
        <v>116</v>
      </c>
      <c r="F46" s="96">
        <v>139</v>
      </c>
      <c r="G46" s="63">
        <v>14</v>
      </c>
      <c r="H46" s="93">
        <f>UninsLT18to64[[#This Row],[Alternate Adj. Total]]*(UninsLT18to64[[#This Row],[138 to 199% of FPL - Uninsured]]/UninsLT18to64[[#This Row],[Total]])</f>
        <v>14</v>
      </c>
      <c r="I46" s="96">
        <v>38</v>
      </c>
      <c r="J46" s="63">
        <v>92</v>
      </c>
      <c r="K46" s="93">
        <f>UninsLT18to64[[#This Row],[Alternate Adj. Total]]*(UninsLT18to64[[#This Row],[200 to 399% of FPL - Uninsured]]/UninsLT18to64[[#This Row],[Total]])</f>
        <v>92</v>
      </c>
      <c r="L46" s="96">
        <v>78</v>
      </c>
      <c r="M46" s="63">
        <v>181</v>
      </c>
      <c r="N46" s="93">
        <f>UninsLT18to64[[#This Row],[Alternate Adj. Total]]*(UninsLT18to64[[#This Row],[400% FPL and over - Uninsured]]/UninsLT18to64[[#This Row],[Total]])</f>
        <v>181</v>
      </c>
      <c r="O46" s="96">
        <v>137</v>
      </c>
      <c r="P46" s="64">
        <f>SUM(UninsLT18to64[[#This Row],[Below 138% of FPL - Uninsured]]+UninsLT18to64[[#This Row],[138 to 199% of FPL - Uninsured]]+UninsLT18to64[[#This Row],[200 to 399% of FPL - Uninsured]]+UninsLT18to64[[#This Row],[400% FPL and over - Uninsured]])</f>
        <v>403</v>
      </c>
      <c r="Q46" s="83">
        <v>0.18069184101831781</v>
      </c>
      <c r="R4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403</v>
      </c>
      <c r="S46" s="70">
        <f>IF(UninsLT18to64[[#This Row],[Total]]&lt;1000,UninsLT18to64[[#This Row],[Total]],MAX(VLOOKUP(UninsLT18to64[[#This Row],[ZIP Code]],IRSzipToCntyTbl[#All],3,0),(UninsLT18to64[[#This Row],[Total]]-(109811*(VLOOKUP(UninsLT18to64[[#This Row],[ZIP Code]],CitizenshipTbl[#All],4,0))))*0.8))</f>
        <v>403</v>
      </c>
      <c r="V46" s="71"/>
    </row>
    <row r="47" spans="1:22" x14ac:dyDescent="0.3">
      <c r="A47" s="62">
        <v>20764</v>
      </c>
      <c r="B47" s="63" t="str">
        <f>VLOOKUP(A47,ZipToCntyTbl[#All],2,0)</f>
        <v>Shady Side</v>
      </c>
      <c r="C47" s="63" t="str">
        <f>VLOOKUP(A47,ZipToCntyTbl[#All],3,0)</f>
        <v>Anne Arundel</v>
      </c>
      <c r="D47" s="63">
        <v>33</v>
      </c>
      <c r="E47" s="93">
        <f>UninsLT18to64[[#This Row],[Alternate Adj. Total]]*(UninsLT18to64[[#This Row],[Below 138% of FPL - Uninsured]]/UninsLT18to64[[#This Row],[Total]])</f>
        <v>33</v>
      </c>
      <c r="F47" s="96">
        <v>86</v>
      </c>
      <c r="G47" s="63">
        <v>34</v>
      </c>
      <c r="H47" s="93">
        <f>UninsLT18to64[[#This Row],[Alternate Adj. Total]]*(UninsLT18to64[[#This Row],[138 to 199% of FPL - Uninsured]]/UninsLT18to64[[#This Row],[Total]])</f>
        <v>34</v>
      </c>
      <c r="I47" s="96">
        <v>50</v>
      </c>
      <c r="J47" s="63">
        <v>43</v>
      </c>
      <c r="K47" s="93">
        <f>UninsLT18to64[[#This Row],[Alternate Adj. Total]]*(UninsLT18to64[[#This Row],[200 to 399% of FPL - Uninsured]]/UninsLT18to64[[#This Row],[Total]])</f>
        <v>43</v>
      </c>
      <c r="L47" s="96">
        <v>57</v>
      </c>
      <c r="M47" s="63">
        <v>140</v>
      </c>
      <c r="N47" s="93">
        <f>UninsLT18to64[[#This Row],[Alternate Adj. Total]]*(UninsLT18to64[[#This Row],[400% FPL and over - Uninsured]]/UninsLT18to64[[#This Row],[Total]])</f>
        <v>140</v>
      </c>
      <c r="O47" s="96">
        <v>129</v>
      </c>
      <c r="P47" s="64">
        <f>SUM(UninsLT18to64[[#This Row],[Below 138% of FPL - Uninsured]]+UninsLT18to64[[#This Row],[138 to 199% of FPL - Uninsured]]+UninsLT18to64[[#This Row],[200 to 399% of FPL - Uninsured]]+UninsLT18to64[[#This Row],[400% FPL and over - Uninsured]])</f>
        <v>250</v>
      </c>
      <c r="Q47" s="83">
        <v>0.29127524772152835</v>
      </c>
      <c r="R4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250</v>
      </c>
      <c r="S47" s="70">
        <f>IF(UninsLT18to64[[#This Row],[Total]]&lt;1000,UninsLT18to64[[#This Row],[Total]],MAX(VLOOKUP(UninsLT18to64[[#This Row],[ZIP Code]],IRSzipToCntyTbl[#All],3,0),(UninsLT18to64[[#This Row],[Total]]-(109811*(VLOOKUP(UninsLT18to64[[#This Row],[ZIP Code]],CitizenshipTbl[#All],4,0))))*0.8))</f>
        <v>250</v>
      </c>
      <c r="V47" s="71"/>
    </row>
    <row r="48" spans="1:22" x14ac:dyDescent="0.3">
      <c r="A48" s="62">
        <v>20769</v>
      </c>
      <c r="B48" s="63" t="str">
        <f>VLOOKUP(A48,ZipToCntyTbl[#All],2,0)</f>
        <v>Glenn Dale</v>
      </c>
      <c r="C48" s="63" t="str">
        <f>VLOOKUP(A48,ZipToCntyTbl[#All],3,0)</f>
        <v>Prince Georges</v>
      </c>
      <c r="D48" s="63">
        <v>269</v>
      </c>
      <c r="E48" s="93">
        <f>UninsLT18to64[[#This Row],[Alternate Adj. Total]]*(UninsLT18to64[[#This Row],[Below 138% of FPL - Uninsured]]/UninsLT18to64[[#This Row],[Total]])</f>
        <v>269</v>
      </c>
      <c r="F48" s="96">
        <v>432</v>
      </c>
      <c r="G48" s="63">
        <v>0</v>
      </c>
      <c r="H48" s="93">
        <f>UninsLT18to64[[#This Row],[Alternate Adj. Total]]*(UninsLT18to64[[#This Row],[138 to 199% of FPL - Uninsured]]/UninsLT18to64[[#This Row],[Total]])</f>
        <v>0</v>
      </c>
      <c r="I48" s="96">
        <v>34</v>
      </c>
      <c r="J48" s="63">
        <v>155</v>
      </c>
      <c r="K48" s="93">
        <f>UninsLT18to64[[#This Row],[Alternate Adj. Total]]*(UninsLT18to64[[#This Row],[200 to 399% of FPL - Uninsured]]/UninsLT18to64[[#This Row],[Total]])</f>
        <v>155</v>
      </c>
      <c r="L48" s="96">
        <v>177</v>
      </c>
      <c r="M48" s="63">
        <v>141</v>
      </c>
      <c r="N48" s="93">
        <f>UninsLT18to64[[#This Row],[Alternate Adj. Total]]*(UninsLT18to64[[#This Row],[400% FPL and over - Uninsured]]/UninsLT18to64[[#This Row],[Total]])</f>
        <v>141</v>
      </c>
      <c r="O48" s="96">
        <v>136</v>
      </c>
      <c r="P48" s="64">
        <f>SUM(UninsLT18to64[[#This Row],[Below 138% of FPL - Uninsured]]+UninsLT18to64[[#This Row],[138 to 199% of FPL - Uninsured]]+UninsLT18to64[[#This Row],[200 to 399% of FPL - Uninsured]]+UninsLT18to64[[#This Row],[400% FPL and over - Uninsured]])</f>
        <v>565</v>
      </c>
      <c r="Q48" s="83">
        <v>0.12888285297412758</v>
      </c>
      <c r="R4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565</v>
      </c>
      <c r="S48" s="70">
        <f>IF(UninsLT18to64[[#This Row],[Total]]&lt;1000,UninsLT18to64[[#This Row],[Total]],MAX(VLOOKUP(UninsLT18to64[[#This Row],[ZIP Code]],IRSzipToCntyTbl[#All],3,0),(UninsLT18to64[[#This Row],[Total]]-(109811*(VLOOKUP(UninsLT18to64[[#This Row],[ZIP Code]],CitizenshipTbl[#All],4,0))))*0.8))</f>
        <v>565</v>
      </c>
      <c r="V48" s="71"/>
    </row>
    <row r="49" spans="1:22" x14ac:dyDescent="0.3">
      <c r="A49" s="62">
        <v>20770</v>
      </c>
      <c r="B49" s="63" t="str">
        <f>VLOOKUP(A49,ZipToCntyTbl[#All],2,0)</f>
        <v>Greenbelt</v>
      </c>
      <c r="C49" s="63" t="str">
        <f>VLOOKUP(A49,ZipToCntyTbl[#All],3,0)</f>
        <v>Prince Georges</v>
      </c>
      <c r="D49" s="63">
        <v>705</v>
      </c>
      <c r="E49" s="93">
        <f>UninsLT18to64[[#This Row],[Alternate Adj. Total]]*(UninsLT18to64[[#This Row],[Below 138% of FPL - Uninsured]]/UninsLT18to64[[#This Row],[Total]])</f>
        <v>348.35535440774959</v>
      </c>
      <c r="F49" s="96">
        <v>405</v>
      </c>
      <c r="G49" s="63">
        <v>674</v>
      </c>
      <c r="H49" s="93">
        <f>UninsLT18to64[[#This Row],[Alternate Adj. Total]]*(UninsLT18to64[[#This Row],[138 to 199% of FPL - Uninsured]]/UninsLT18to64[[#This Row],[Total]])</f>
        <v>333.03760123521022</v>
      </c>
      <c r="I49" s="96">
        <v>300</v>
      </c>
      <c r="J49" s="63">
        <v>1204</v>
      </c>
      <c r="K49" s="93">
        <f>UninsLT18to64[[#This Row],[Alternate Adj. Total]]*(UninsLT18to64[[#This Row],[200 to 399% of FPL - Uninsured]]/UninsLT18to64[[#This Row],[Total]])</f>
        <v>594.92176837862485</v>
      </c>
      <c r="L49" s="96">
        <v>432</v>
      </c>
      <c r="M49" s="63">
        <v>727</v>
      </c>
      <c r="N49" s="93">
        <f>UninsLT18to64[[#This Row],[Alternate Adj. Total]]*(UninsLT18to64[[#This Row],[400% FPL and over - Uninsured]]/UninsLT18to64[[#This Row],[Total]])</f>
        <v>359.2260179495517</v>
      </c>
      <c r="O49" s="96">
        <v>279</v>
      </c>
      <c r="P49" s="64">
        <f>SUM(UninsLT18to64[[#This Row],[Below 138% of FPL - Uninsured]]+UninsLT18to64[[#This Row],[138 to 199% of FPL - Uninsured]]+UninsLT18to64[[#This Row],[200 to 399% of FPL - Uninsured]]+UninsLT18to64[[#This Row],[400% FPL and over - Uninsured]])</f>
        <v>3310</v>
      </c>
      <c r="Q49" s="83">
        <v>2.1999641066580689E-2</v>
      </c>
      <c r="R4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1204.8</v>
      </c>
      <c r="S49" s="70">
        <f>IF(UninsLT18to64[[#This Row],[Total]]&lt;1000,UninsLT18to64[[#This Row],[Total]],MAX(VLOOKUP(UninsLT18to64[[#This Row],[ZIP Code]],IRSzipToCntyTbl[#All],3,0),(UninsLT18to64[[#This Row],[Total]]-(109811*(VLOOKUP(UninsLT18to64[[#This Row],[ZIP Code]],CitizenshipTbl[#All],4,0))))*0.8))</f>
        <v>1635.5407419711364</v>
      </c>
      <c r="V49" s="71"/>
    </row>
    <row r="50" spans="1:22" x14ac:dyDescent="0.3">
      <c r="A50" s="62">
        <v>20772</v>
      </c>
      <c r="B50" s="63" t="str">
        <f>VLOOKUP(A50,ZipToCntyTbl[#All],2,0)</f>
        <v>Upper Marlboro</v>
      </c>
      <c r="C50" s="63" t="str">
        <f>VLOOKUP(A50,ZipToCntyTbl[#All],3,0)</f>
        <v>Prince Georges</v>
      </c>
      <c r="D50" s="63">
        <v>496</v>
      </c>
      <c r="E50" s="93">
        <f>UninsLT18to64[[#This Row],[Alternate Adj. Total]]*(UninsLT18to64[[#This Row],[Below 138% of FPL - Uninsured]]/UninsLT18to64[[#This Row],[Total]])</f>
        <v>345.09936270536565</v>
      </c>
      <c r="F50" s="96">
        <v>343</v>
      </c>
      <c r="G50" s="63">
        <v>122</v>
      </c>
      <c r="H50" s="93">
        <f>UninsLT18to64[[#This Row],[Alternate Adj. Total]]*(UninsLT18to64[[#This Row],[138 to 199% of FPL - Uninsured]]/UninsLT18to64[[#This Row],[Total]])</f>
        <v>84.883310988013321</v>
      </c>
      <c r="I50" s="96">
        <v>128</v>
      </c>
      <c r="J50" s="63">
        <v>846</v>
      </c>
      <c r="K50" s="93">
        <f>UninsLT18to64[[#This Row],[Alternate Adj. Total]]*(UninsLT18to64[[#This Row],[200 to 399% of FPL - Uninsured]]/UninsLT18to64[[#This Row],[Total]])</f>
        <v>588.61705816278084</v>
      </c>
      <c r="L50" s="96">
        <v>381</v>
      </c>
      <c r="M50" s="63">
        <v>932</v>
      </c>
      <c r="N50" s="93">
        <f>UninsLT18to64[[#This Row],[Alternate Adj. Total]]*(UninsLT18to64[[#This Row],[400% FPL and over - Uninsured]]/UninsLT18to64[[#This Row],[Total]])</f>
        <v>648.45283476088866</v>
      </c>
      <c r="O50" s="96">
        <v>320</v>
      </c>
      <c r="P50" s="64">
        <f>SUM(UninsLT18to64[[#This Row],[Below 138% of FPL - Uninsured]]+UninsLT18to64[[#This Row],[138 to 199% of FPL - Uninsured]]+UninsLT18to64[[#This Row],[200 to 399% of FPL - Uninsured]]+UninsLT18to64[[#This Row],[400% FPL and over - Uninsured]])</f>
        <v>2396</v>
      </c>
      <c r="Q50" s="83">
        <v>3.0391824678790518E-2</v>
      </c>
      <c r="R5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1560.8000000000002</v>
      </c>
      <c r="S50" s="70">
        <f>IF(UninsLT18to64[[#This Row],[Total]]&lt;1000,UninsLT18to64[[#This Row],[Total]],MAX(VLOOKUP(UninsLT18to64[[#This Row],[ZIP Code]],IRSzipToCntyTbl[#All],3,0),(UninsLT18to64[[#This Row],[Total]]-(109811*(VLOOKUP(UninsLT18to64[[#This Row],[ZIP Code]],CitizenshipTbl[#All],4,0))))*0.8))</f>
        <v>1667.0525666170486</v>
      </c>
      <c r="V50" s="71"/>
    </row>
    <row r="51" spans="1:22" x14ac:dyDescent="0.3">
      <c r="A51" s="62">
        <v>20774</v>
      </c>
      <c r="B51" s="63" t="str">
        <f>VLOOKUP(A51,ZipToCntyTbl[#All],2,0)</f>
        <v>Upper Marlboro</v>
      </c>
      <c r="C51" s="63" t="str">
        <f>VLOOKUP(A51,ZipToCntyTbl[#All],3,0)</f>
        <v>Prince Georges</v>
      </c>
      <c r="D51" s="63">
        <v>534</v>
      </c>
      <c r="E51" s="93">
        <f>UninsLT18to64[[#This Row],[Alternate Adj. Total]]*(UninsLT18to64[[#This Row],[Below 138% of FPL - Uninsured]]/UninsLT18to64[[#This Row],[Total]])</f>
        <v>351.16851535435273</v>
      </c>
      <c r="F51" s="96">
        <v>373</v>
      </c>
      <c r="G51" s="63">
        <v>167</v>
      </c>
      <c r="H51" s="93">
        <f>UninsLT18to64[[#This Row],[Alternate Adj. Total]]*(UninsLT18to64[[#This Row],[138 to 199% of FPL - Uninsured]]/UninsLT18to64[[#This Row],[Total]])</f>
        <v>109.82236341606162</v>
      </c>
      <c r="I51" s="96">
        <v>149</v>
      </c>
      <c r="J51" s="63">
        <v>991</v>
      </c>
      <c r="K51" s="93">
        <f>UninsLT18to64[[#This Row],[Alternate Adj. Total]]*(UninsLT18to64[[#This Row],[200 to 399% of FPL - Uninsured]]/UninsLT18to64[[#This Row],[Total]])</f>
        <v>651.70037212764714</v>
      </c>
      <c r="L51" s="96">
        <v>398</v>
      </c>
      <c r="M51" s="63">
        <v>1150</v>
      </c>
      <c r="N51" s="93">
        <f>UninsLT18to64[[#This Row],[Alternate Adj. Total]]*(UninsLT18to64[[#This Row],[400% FPL and over - Uninsured]]/UninsLT18to64[[#This Row],[Total]])</f>
        <v>756.26178400281958</v>
      </c>
      <c r="O51" s="96">
        <v>371</v>
      </c>
      <c r="P51" s="64">
        <f>SUM(UninsLT18to64[[#This Row],[Below 138% of FPL - Uninsured]]+UninsLT18to64[[#This Row],[138 to 199% of FPL - Uninsured]]+UninsLT18to64[[#This Row],[200 to 399% of FPL - Uninsured]]+UninsLT18to64[[#This Row],[400% FPL and over - Uninsured]])</f>
        <v>2842</v>
      </c>
      <c r="Q51" s="83">
        <v>2.5622382804497565E-2</v>
      </c>
      <c r="R5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1696.8000000000002</v>
      </c>
      <c r="S51" s="70">
        <f>IF(UninsLT18to64[[#This Row],[Total]]&lt;1000,UninsLT18to64[[#This Row],[Total]],MAX(VLOOKUP(UninsLT18to64[[#This Row],[ZIP Code]],IRSzipToCntyTbl[#All],3,0),(UninsLT18to64[[#This Row],[Total]]-(109811*(VLOOKUP(UninsLT18to64[[#This Row],[ZIP Code]],CitizenshipTbl[#All],4,0))))*0.8))</f>
        <v>1868.953034900881</v>
      </c>
      <c r="V51" s="71"/>
    </row>
    <row r="52" spans="1:22" x14ac:dyDescent="0.3">
      <c r="A52" s="62">
        <v>20781</v>
      </c>
      <c r="B52" s="63" t="str">
        <f>VLOOKUP(A52,ZipToCntyTbl[#All],2,0)</f>
        <v>Hyattsville</v>
      </c>
      <c r="C52" s="63" t="str">
        <f>VLOOKUP(A52,ZipToCntyTbl[#All],3,0)</f>
        <v>Prince Georges</v>
      </c>
      <c r="D52" s="63">
        <v>381</v>
      </c>
      <c r="E52" s="93">
        <f>UninsLT18to64[[#This Row],[Alternate Adj. Total]]*(UninsLT18to64[[#This Row],[Below 138% of FPL - Uninsured]]/UninsLT18to64[[#This Row],[Total]])</f>
        <v>149.37960867410837</v>
      </c>
      <c r="F52" s="96">
        <v>190</v>
      </c>
      <c r="G52" s="63">
        <v>497</v>
      </c>
      <c r="H52" s="93">
        <f>UninsLT18to64[[#This Row],[Alternate Adj. Total]]*(UninsLT18to64[[#This Row],[138 to 199% of FPL - Uninsured]]/UninsLT18to64[[#This Row],[Total]])</f>
        <v>194.86001446465056</v>
      </c>
      <c r="I52" s="96">
        <v>225</v>
      </c>
      <c r="J52" s="63">
        <v>1105</v>
      </c>
      <c r="K52" s="93">
        <f>UninsLT18to64[[#This Row],[Alternate Adj. Total]]*(UninsLT18to64[[#This Row],[200 to 399% of FPL - Uninsured]]/UninsLT18to64[[#This Row],[Total]])</f>
        <v>433.24007240128543</v>
      </c>
      <c r="L52" s="96">
        <v>362</v>
      </c>
      <c r="M52" s="63">
        <v>144</v>
      </c>
      <c r="N52" s="93">
        <f>UninsLT18to64[[#This Row],[Alternate Adj. Total]]*(UninsLT18to64[[#This Row],[400% FPL and over - Uninsured]]/UninsLT18to64[[#This Row],[Total]])</f>
        <v>56.458434774466163</v>
      </c>
      <c r="O52" s="96">
        <v>79</v>
      </c>
      <c r="P52" s="64">
        <f>SUM(UninsLT18to64[[#This Row],[Below 138% of FPL - Uninsured]]+UninsLT18to64[[#This Row],[138 to 199% of FPL - Uninsured]]+UninsLT18to64[[#This Row],[200 to 399% of FPL - Uninsured]]+UninsLT18to64[[#This Row],[400% FPL and over - Uninsured]])</f>
        <v>2127</v>
      </c>
      <c r="Q52" s="83">
        <v>3.4235454598205026E-2</v>
      </c>
      <c r="R5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464.8</v>
      </c>
      <c r="S52" s="70">
        <f>IF(UninsLT18to64[[#This Row],[Total]]&lt;1000,UninsLT18to64[[#This Row],[Total]],MAX(VLOOKUP(UninsLT18to64[[#This Row],[ZIP Code]],IRSzipToCntyTbl[#All],3,0),(UninsLT18to64[[#This Row],[Total]]-(109811*(VLOOKUP(UninsLT18to64[[#This Row],[ZIP Code]],CitizenshipTbl[#All],4,0))))*0.8))</f>
        <v>833.93813031451054</v>
      </c>
      <c r="V52" s="71"/>
    </row>
    <row r="53" spans="1:22" x14ac:dyDescent="0.3">
      <c r="A53" s="62">
        <v>20782</v>
      </c>
      <c r="B53" s="63" t="str">
        <f>VLOOKUP(A53,ZipToCntyTbl[#All],2,0)</f>
        <v>Hyattsville</v>
      </c>
      <c r="C53" s="63" t="str">
        <f>VLOOKUP(A53,ZipToCntyTbl[#All],3,0)</f>
        <v>Prince Georges</v>
      </c>
      <c r="D53" s="63">
        <v>1629</v>
      </c>
      <c r="E53" s="93">
        <f>UninsLT18to64[[#This Row],[Alternate Adj. Total]]*(UninsLT18to64[[#This Row],[Below 138% of FPL - Uninsured]]/UninsLT18to64[[#This Row],[Total]])</f>
        <v>656.13234629287035</v>
      </c>
      <c r="F53" s="96">
        <v>547</v>
      </c>
      <c r="G53" s="63">
        <v>962</v>
      </c>
      <c r="H53" s="93">
        <f>UninsLT18to64[[#This Row],[Alternate Adj. Total]]*(UninsLT18to64[[#This Row],[138 to 199% of FPL - Uninsured]]/UninsLT18to64[[#This Row],[Total]])</f>
        <v>387.4765605486441</v>
      </c>
      <c r="I53" s="96">
        <v>404</v>
      </c>
      <c r="J53" s="63">
        <v>2673</v>
      </c>
      <c r="K53" s="93">
        <f>UninsLT18to64[[#This Row],[Alternate Adj. Total]]*(UninsLT18to64[[#This Row],[200 to 399% of FPL - Uninsured]]/UninsLT18to64[[#This Row],[Total]])</f>
        <v>1076.6370544142678</v>
      </c>
      <c r="L53" s="96">
        <v>678</v>
      </c>
      <c r="M53" s="63">
        <v>868</v>
      </c>
      <c r="N53" s="93">
        <f>UninsLT18to64[[#This Row],[Alternate Adj. Total]]*(UninsLT18to64[[#This Row],[400% FPL and over - Uninsured]]/UninsLT18to64[[#This Row],[Total]])</f>
        <v>349.61502552621943</v>
      </c>
      <c r="O53" s="96">
        <v>336</v>
      </c>
      <c r="P53" s="64">
        <f>SUM(UninsLT18to64[[#This Row],[Below 138% of FPL - Uninsured]]+UninsLT18to64[[#This Row],[138 to 199% of FPL - Uninsured]]+UninsLT18to64[[#This Row],[200 to 399% of FPL - Uninsured]]+UninsLT18to64[[#This Row],[400% FPL and over - Uninsured]])</f>
        <v>6132</v>
      </c>
      <c r="Q53" s="83">
        <v>1.1875213948203209E-2</v>
      </c>
      <c r="R5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1433.6000000000001</v>
      </c>
      <c r="S53" s="70">
        <f>IF(UninsLT18to64[[#This Row],[Total]]&lt;1000,UninsLT18to64[[#This Row],[Total]],MAX(VLOOKUP(UninsLT18to64[[#This Row],[ZIP Code]],IRSzipToCntyTbl[#All],3,0),(UninsLT18to64[[#This Row],[Total]]-(109811*(VLOOKUP(UninsLT18to64[[#This Row],[ZIP Code]],CitizenshipTbl[#All],4,0))))*0.8))</f>
        <v>2469.8609867820019</v>
      </c>
      <c r="V53" s="71"/>
    </row>
    <row r="54" spans="1:22" x14ac:dyDescent="0.3">
      <c r="A54" s="62">
        <v>20783</v>
      </c>
      <c r="B54" s="63" t="str">
        <f>VLOOKUP(A54,ZipToCntyTbl[#All],2,0)</f>
        <v>Hyattsville</v>
      </c>
      <c r="C54" s="63" t="str">
        <f>VLOOKUP(A54,ZipToCntyTbl[#All],3,0)</f>
        <v>Prince Georges</v>
      </c>
      <c r="D54" s="63">
        <v>4761</v>
      </c>
      <c r="E54" s="93">
        <f>UninsLT18to64[[#This Row],[Alternate Adj. Total]]*(UninsLT18to64[[#This Row],[Below 138% of FPL - Uninsured]]/UninsLT18to64[[#This Row],[Total]])</f>
        <v>1502.328345488032</v>
      </c>
      <c r="F54" s="96">
        <v>1121</v>
      </c>
      <c r="G54" s="63">
        <v>3134</v>
      </c>
      <c r="H54" s="93">
        <f>UninsLT18to64[[#This Row],[Alternate Adj. Total]]*(UninsLT18to64[[#This Row],[138 to 199% of FPL - Uninsured]]/UninsLT18to64[[#This Row],[Total]])</f>
        <v>988.93027405156317</v>
      </c>
      <c r="I54" s="96">
        <v>537</v>
      </c>
      <c r="J54" s="63">
        <v>6695</v>
      </c>
      <c r="K54" s="93">
        <f>UninsLT18to64[[#This Row],[Alternate Adj. Total]]*(UninsLT18to64[[#This Row],[200 to 399% of FPL - Uninsured]]/UninsLT18to64[[#This Row],[Total]])</f>
        <v>2112.5999313258508</v>
      </c>
      <c r="L54" s="96">
        <v>980</v>
      </c>
      <c r="M54" s="63">
        <v>1579</v>
      </c>
      <c r="N54" s="93">
        <f>UninsLT18to64[[#This Row],[Alternate Adj. Total]]*(UninsLT18to64[[#This Row],[400% FPL and over - Uninsured]]/UninsLT18to64[[#This Row],[Total]])</f>
        <v>498.25172390791903</v>
      </c>
      <c r="O54" s="96">
        <v>387</v>
      </c>
      <c r="P54" s="64">
        <f>SUM(UninsLT18to64[[#This Row],[Below 138% of FPL - Uninsured]]+UninsLT18to64[[#This Row],[138 to 199% of FPL - Uninsured]]+UninsLT18to64[[#This Row],[200 to 399% of FPL - Uninsured]]+UninsLT18to64[[#This Row],[400% FPL and over - Uninsured]])</f>
        <v>16169</v>
      </c>
      <c r="Q54" s="83">
        <v>4.5036064030170133E-3</v>
      </c>
      <c r="R5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1769.6000000000001</v>
      </c>
      <c r="S54" s="70">
        <f>IF(UninsLT18to64[[#This Row],[Total]]&lt;1000,UninsLT18to64[[#This Row],[Total]],MAX(VLOOKUP(UninsLT18to64[[#This Row],[ZIP Code]],IRSzipToCntyTbl[#All],3,0),(UninsLT18to64[[#This Row],[Total]]-(109811*(VLOOKUP(UninsLT18to64[[#This Row],[ZIP Code]],CitizenshipTbl[#All],4,0))))*0.8))</f>
        <v>5102.1102747733648</v>
      </c>
      <c r="V54" s="71"/>
    </row>
    <row r="55" spans="1:22" x14ac:dyDescent="0.3">
      <c r="A55" s="62">
        <v>20784</v>
      </c>
      <c r="B55" s="63" t="str">
        <f>VLOOKUP(A55,ZipToCntyTbl[#All],2,0)</f>
        <v>Hyattsville</v>
      </c>
      <c r="C55" s="63" t="str">
        <f>VLOOKUP(A55,ZipToCntyTbl[#All],3,0)</f>
        <v>Prince Georges</v>
      </c>
      <c r="D55" s="63">
        <v>1351</v>
      </c>
      <c r="E55" s="93">
        <f>UninsLT18to64[[#This Row],[Alternate Adj. Total]]*(UninsLT18to64[[#This Row],[Below 138% of FPL - Uninsured]]/UninsLT18to64[[#This Row],[Total]])</f>
        <v>649.5403948927277</v>
      </c>
      <c r="F55" s="96">
        <v>592</v>
      </c>
      <c r="G55" s="63">
        <v>929</v>
      </c>
      <c r="H55" s="93">
        <f>UninsLT18to64[[#This Row],[Alternate Adj. Total]]*(UninsLT18to64[[#This Row],[138 to 199% of FPL - Uninsured]]/UninsLT18to64[[#This Row],[Total]])</f>
        <v>446.64916865680533</v>
      </c>
      <c r="I55" s="96">
        <v>388</v>
      </c>
      <c r="J55" s="63">
        <v>1772</v>
      </c>
      <c r="K55" s="93">
        <f>UninsLT18to64[[#This Row],[Alternate Adj. Total]]*(UninsLT18to64[[#This Row],[200 to 399% of FPL - Uninsured]]/UninsLT18to64[[#This Row],[Total]])</f>
        <v>851.95083623235632</v>
      </c>
      <c r="L55" s="96">
        <v>455</v>
      </c>
      <c r="M55" s="63">
        <v>1175</v>
      </c>
      <c r="N55" s="93">
        <f>UninsLT18to64[[#This Row],[Alternate Adj. Total]]*(UninsLT18to64[[#This Row],[400% FPL and over - Uninsured]]/UninsLT18to64[[#This Row],[Total]])</f>
        <v>564.92225314504446</v>
      </c>
      <c r="O55" s="96">
        <v>382</v>
      </c>
      <c r="P55" s="64">
        <f>SUM(UninsLT18to64[[#This Row],[Below 138% of FPL - Uninsured]]+UninsLT18to64[[#This Row],[138 to 199% of FPL - Uninsured]]+UninsLT18to64[[#This Row],[200 to 399% of FPL - Uninsured]]+UninsLT18to64[[#This Row],[400% FPL and over - Uninsured]])</f>
        <v>5227</v>
      </c>
      <c r="Q55" s="83">
        <v>1.3931282175317024E-2</v>
      </c>
      <c r="R5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1803.2</v>
      </c>
      <c r="S55" s="70">
        <f>IF(UninsLT18to64[[#This Row],[Total]]&lt;1000,UninsLT18to64[[#This Row],[Total]],MAX(VLOOKUP(UninsLT18to64[[#This Row],[ZIP Code]],IRSzipToCntyTbl[#All],3,0),(UninsLT18to64[[#This Row],[Total]]-(109811*(VLOOKUP(UninsLT18to64[[#This Row],[ZIP Code]],CitizenshipTbl[#All],4,0))))*0.8))</f>
        <v>2513.0626529269339</v>
      </c>
      <c r="V55" s="71"/>
    </row>
    <row r="56" spans="1:22" x14ac:dyDescent="0.3">
      <c r="A56" s="62">
        <v>20785</v>
      </c>
      <c r="B56" s="63" t="str">
        <f>VLOOKUP(A56,ZipToCntyTbl[#All],2,0)</f>
        <v>Hyattsville</v>
      </c>
      <c r="C56" s="63" t="str">
        <f>VLOOKUP(A56,ZipToCntyTbl[#All],3,0)</f>
        <v>Prince Georges</v>
      </c>
      <c r="D56" s="63">
        <v>1153</v>
      </c>
      <c r="E56" s="93">
        <f>UninsLT18to64[[#This Row],[Alternate Adj. Total]]*(UninsLT18to64[[#This Row],[Below 138% of FPL - Uninsured]]/UninsLT18to64[[#This Row],[Total]])</f>
        <v>667.85269672597053</v>
      </c>
      <c r="F56" s="96">
        <v>535</v>
      </c>
      <c r="G56" s="63">
        <v>543</v>
      </c>
      <c r="H56" s="93">
        <f>UninsLT18to64[[#This Row],[Alternate Adj. Total]]*(UninsLT18to64[[#This Row],[138 to 199% of FPL - Uninsured]]/UninsLT18to64[[#This Row],[Total]])</f>
        <v>314.52212864024455</v>
      </c>
      <c r="I56" s="96">
        <v>196</v>
      </c>
      <c r="J56" s="63">
        <v>1455</v>
      </c>
      <c r="K56" s="93">
        <f>UninsLT18to64[[#This Row],[Alternate Adj. Total]]*(UninsLT18to64[[#This Row],[200 to 399% of FPL - Uninsured]]/UninsLT18to64[[#This Row],[Total]])</f>
        <v>842.78028945037909</v>
      </c>
      <c r="L56" s="96">
        <v>457</v>
      </c>
      <c r="M56" s="63">
        <v>980</v>
      </c>
      <c r="N56" s="93">
        <f>UninsLT18to64[[#This Row],[Alternate Adj. Total]]*(UninsLT18to64[[#This Row],[400% FPL and over - Uninsured]]/UninsLT18to64[[#This Row],[Total]])</f>
        <v>567.6458306951007</v>
      </c>
      <c r="O56" s="96">
        <v>358</v>
      </c>
      <c r="P56" s="64">
        <f>SUM(UninsLT18to64[[#This Row],[Below 138% of FPL - Uninsured]]+UninsLT18to64[[#This Row],[138 to 199% of FPL - Uninsured]]+UninsLT18to64[[#This Row],[200 to 399% of FPL - Uninsured]]+UninsLT18to64[[#This Row],[400% FPL and over - Uninsured]])</f>
        <v>4131</v>
      </c>
      <c r="Q56" s="83">
        <v>1.762740545397775E-2</v>
      </c>
      <c r="R5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2004.8000000000002</v>
      </c>
      <c r="S56" s="70">
        <f>IF(UninsLT18to64[[#This Row],[Total]]&lt;1000,UninsLT18to64[[#This Row],[Total]],MAX(VLOOKUP(UninsLT18to64[[#This Row],[ZIP Code]],IRSzipToCntyTbl[#All],3,0),(UninsLT18to64[[#This Row],[Total]]-(109811*(VLOOKUP(UninsLT18to64[[#This Row],[ZIP Code]],CitizenshipTbl[#All],4,0))))*0.8))</f>
        <v>2392.8009455116949</v>
      </c>
      <c r="V56" s="71"/>
    </row>
    <row r="57" spans="1:22" x14ac:dyDescent="0.3">
      <c r="A57" s="62">
        <v>20794</v>
      </c>
      <c r="B57" s="63" t="str">
        <f>VLOOKUP(A57,ZipToCntyTbl[#All],2,0)</f>
        <v>Jessup</v>
      </c>
      <c r="C57" s="63" t="str">
        <f>VLOOKUP(A57,ZipToCntyTbl[#All],3,0)</f>
        <v>Howard</v>
      </c>
      <c r="D57" s="63">
        <v>152</v>
      </c>
      <c r="E57" s="93">
        <f>UninsLT18to64[[#This Row],[Alternate Adj. Total]]*(UninsLT18to64[[#This Row],[Below 138% of FPL - Uninsured]]/UninsLT18to64[[#This Row],[Total]])</f>
        <v>152</v>
      </c>
      <c r="F57" s="96">
        <v>235</v>
      </c>
      <c r="G57" s="63">
        <v>134</v>
      </c>
      <c r="H57" s="93">
        <f>UninsLT18to64[[#This Row],[Alternate Adj. Total]]*(UninsLT18to64[[#This Row],[138 to 199% of FPL - Uninsured]]/UninsLT18to64[[#This Row],[Total]])</f>
        <v>134</v>
      </c>
      <c r="I57" s="96">
        <v>154</v>
      </c>
      <c r="J57" s="63">
        <v>328</v>
      </c>
      <c r="K57" s="93">
        <f>UninsLT18to64[[#This Row],[Alternate Adj. Total]]*(UninsLT18to64[[#This Row],[200 to 399% of FPL - Uninsured]]/UninsLT18to64[[#This Row],[Total]])</f>
        <v>328</v>
      </c>
      <c r="L57" s="96">
        <v>230</v>
      </c>
      <c r="M57" s="63">
        <v>165</v>
      </c>
      <c r="N57" s="93">
        <f>UninsLT18to64[[#This Row],[Alternate Adj. Total]]*(UninsLT18to64[[#This Row],[400% FPL and over - Uninsured]]/UninsLT18to64[[#This Row],[Total]])</f>
        <v>165</v>
      </c>
      <c r="O57" s="96">
        <v>163</v>
      </c>
      <c r="P57" s="64">
        <f>SUM(UninsLT18to64[[#This Row],[Below 138% of FPL - Uninsured]]+UninsLT18to64[[#This Row],[138 to 199% of FPL - Uninsured]]+UninsLT18to64[[#This Row],[200 to 399% of FPL - Uninsured]]+UninsLT18to64[[#This Row],[400% FPL and over - Uninsured]])</f>
        <v>779</v>
      </c>
      <c r="Q57" s="83">
        <v>9.3477293877255563E-2</v>
      </c>
      <c r="R5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779</v>
      </c>
      <c r="S57" s="70">
        <f>IF(UninsLT18to64[[#This Row],[Total]]&lt;1000,UninsLT18to64[[#This Row],[Total]],MAX(VLOOKUP(UninsLT18to64[[#This Row],[ZIP Code]],IRSzipToCntyTbl[#All],3,0),(UninsLT18to64[[#This Row],[Total]]-(109811*(VLOOKUP(UninsLT18to64[[#This Row],[ZIP Code]],CitizenshipTbl[#All],4,0))))*0.8))</f>
        <v>779</v>
      </c>
      <c r="V57" s="71"/>
    </row>
    <row r="58" spans="1:22" x14ac:dyDescent="0.3">
      <c r="A58" s="62">
        <v>20814</v>
      </c>
      <c r="B58" s="63" t="str">
        <f>VLOOKUP(A58,ZipToCntyTbl[#All],2,0)</f>
        <v>Bethesda</v>
      </c>
      <c r="C58" s="63" t="str">
        <f>VLOOKUP(A58,ZipToCntyTbl[#All],3,0)</f>
        <v>Montgomery</v>
      </c>
      <c r="D58" s="63">
        <v>106</v>
      </c>
      <c r="E58" s="93">
        <f>UninsLT18to64[[#This Row],[Alternate Adj. Total]]*(UninsLT18to64[[#This Row],[Below 138% of FPL - Uninsured]]/UninsLT18to64[[#This Row],[Total]])</f>
        <v>106</v>
      </c>
      <c r="F58" s="96">
        <v>107</v>
      </c>
      <c r="G58" s="63">
        <v>92</v>
      </c>
      <c r="H58" s="93">
        <f>UninsLT18to64[[#This Row],[Alternate Adj. Total]]*(UninsLT18to64[[#This Row],[138 to 199% of FPL - Uninsured]]/UninsLT18to64[[#This Row],[Total]])</f>
        <v>92</v>
      </c>
      <c r="I58" s="96">
        <v>78</v>
      </c>
      <c r="J58" s="63">
        <v>78</v>
      </c>
      <c r="K58" s="93">
        <f>UninsLT18to64[[#This Row],[Alternate Adj. Total]]*(UninsLT18to64[[#This Row],[200 to 399% of FPL - Uninsured]]/UninsLT18to64[[#This Row],[Total]])</f>
        <v>78</v>
      </c>
      <c r="L58" s="96">
        <v>74</v>
      </c>
      <c r="M58" s="63">
        <v>262</v>
      </c>
      <c r="N58" s="93">
        <f>UninsLT18to64[[#This Row],[Alternate Adj. Total]]*(UninsLT18to64[[#This Row],[400% FPL and over - Uninsured]]/UninsLT18to64[[#This Row],[Total]])</f>
        <v>262</v>
      </c>
      <c r="O58" s="96">
        <v>137</v>
      </c>
      <c r="P58" s="64">
        <f>SUM(UninsLT18to64[[#This Row],[Below 138% of FPL - Uninsured]]+UninsLT18to64[[#This Row],[138 to 199% of FPL - Uninsured]]+UninsLT18to64[[#This Row],[200 to 399% of FPL - Uninsured]]+UninsLT18to64[[#This Row],[400% FPL and over - Uninsured]])</f>
        <v>538</v>
      </c>
      <c r="Q58" s="83">
        <v>0.13535095154346111</v>
      </c>
      <c r="R5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538</v>
      </c>
      <c r="S58" s="70">
        <f>IF(UninsLT18to64[[#This Row],[Total]]&lt;1000,UninsLT18to64[[#This Row],[Total]],MAX(VLOOKUP(UninsLT18to64[[#This Row],[ZIP Code]],IRSzipToCntyTbl[#All],3,0),(UninsLT18to64[[#This Row],[Total]]-(109811*(VLOOKUP(UninsLT18to64[[#This Row],[ZIP Code]],CitizenshipTbl[#All],4,0))))*0.8))</f>
        <v>538</v>
      </c>
      <c r="V58" s="71"/>
    </row>
    <row r="59" spans="1:22" x14ac:dyDescent="0.3">
      <c r="A59" s="62">
        <v>20815</v>
      </c>
      <c r="B59" s="63" t="str">
        <f>VLOOKUP(A59,ZipToCntyTbl[#All],2,0)</f>
        <v>Chevy Chase</v>
      </c>
      <c r="C59" s="63" t="str">
        <f>VLOOKUP(A59,ZipToCntyTbl[#All],3,0)</f>
        <v>Montgomery</v>
      </c>
      <c r="D59" s="63">
        <v>153</v>
      </c>
      <c r="E59" s="93">
        <f>UninsLT18to64[[#This Row],[Alternate Adj. Total]]*(UninsLT18to64[[#This Row],[Below 138% of FPL - Uninsured]]/UninsLT18to64[[#This Row],[Total]])</f>
        <v>90.020856546351212</v>
      </c>
      <c r="F59" s="96">
        <v>203</v>
      </c>
      <c r="G59" s="63">
        <v>121</v>
      </c>
      <c r="H59" s="93">
        <f>UninsLT18to64[[#This Row],[Alternate Adj. Total]]*(UninsLT18to64[[#This Row],[138 to 199% of FPL - Uninsured]]/UninsLT18to64[[#This Row],[Total]])</f>
        <v>71.192964981101284</v>
      </c>
      <c r="I59" s="96">
        <v>121</v>
      </c>
      <c r="J59" s="63">
        <v>106</v>
      </c>
      <c r="K59" s="93">
        <f>UninsLT18to64[[#This Row],[Alternate Adj. Total]]*(UninsLT18to64[[#This Row],[200 to 399% of FPL - Uninsured]]/UninsLT18to64[[#This Row],[Total]])</f>
        <v>62.367390809890381</v>
      </c>
      <c r="L59" s="96">
        <v>125</v>
      </c>
      <c r="M59" s="63">
        <v>702</v>
      </c>
      <c r="N59" s="93">
        <f>UninsLT18to64[[#This Row],[Alternate Adj. Total]]*(UninsLT18to64[[#This Row],[400% FPL and over - Uninsured]]/UninsLT18to64[[#This Row],[Total]])</f>
        <v>413.03687121267023</v>
      </c>
      <c r="O59" s="96">
        <v>714</v>
      </c>
      <c r="P59" s="64">
        <f>SUM(UninsLT18to64[[#This Row],[Below 138% of FPL - Uninsured]]+UninsLT18to64[[#This Row],[138 to 199% of FPL - Uninsured]]+UninsLT18to64[[#This Row],[200 to 399% of FPL - Uninsured]]+UninsLT18to64[[#This Row],[400% FPL and over - Uninsured]])</f>
        <v>1082</v>
      </c>
      <c r="Q59" s="83">
        <v>6.7300195869114676E-2</v>
      </c>
      <c r="R5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539.20000000000005</v>
      </c>
      <c r="S59" s="70">
        <f>IF(UninsLT18to64[[#This Row],[Total]]&lt;1000,UninsLT18to64[[#This Row],[Total]],MAX(VLOOKUP(UninsLT18to64[[#This Row],[ZIP Code]],IRSzipToCntyTbl[#All],3,0),(UninsLT18to64[[#This Row],[Total]]-(109811*(VLOOKUP(UninsLT18to64[[#This Row],[ZIP Code]],CitizenshipTbl[#All],4,0))))*0.8))</f>
        <v>636.61808355001313</v>
      </c>
      <c r="V59" s="71"/>
    </row>
    <row r="60" spans="1:22" x14ac:dyDescent="0.3">
      <c r="A60" s="62">
        <v>20817</v>
      </c>
      <c r="B60" s="63" t="str">
        <f>VLOOKUP(A60,ZipToCntyTbl[#All],2,0)</f>
        <v>Bethesda</v>
      </c>
      <c r="C60" s="63" t="str">
        <f>VLOOKUP(A60,ZipToCntyTbl[#All],3,0)</f>
        <v>Montgomery</v>
      </c>
      <c r="D60" s="63">
        <v>59</v>
      </c>
      <c r="E60" s="93">
        <f>UninsLT18to64[[#This Row],[Alternate Adj. Total]]*(UninsLT18to64[[#This Row],[Below 138% of FPL - Uninsured]]/UninsLT18to64[[#This Row],[Total]])</f>
        <v>59</v>
      </c>
      <c r="F60" s="96">
        <v>99</v>
      </c>
      <c r="G60" s="63">
        <v>35</v>
      </c>
      <c r="H60" s="93">
        <f>UninsLT18to64[[#This Row],[Alternate Adj. Total]]*(UninsLT18to64[[#This Row],[138 to 199% of FPL - Uninsured]]/UninsLT18to64[[#This Row],[Total]])</f>
        <v>35</v>
      </c>
      <c r="I60" s="96">
        <v>57</v>
      </c>
      <c r="J60" s="63">
        <v>241</v>
      </c>
      <c r="K60" s="93">
        <f>UninsLT18to64[[#This Row],[Alternate Adj. Total]]*(UninsLT18to64[[#This Row],[200 to 399% of FPL - Uninsured]]/UninsLT18to64[[#This Row],[Total]])</f>
        <v>241</v>
      </c>
      <c r="L60" s="96">
        <v>131</v>
      </c>
      <c r="M60" s="63">
        <v>393</v>
      </c>
      <c r="N60" s="93">
        <f>UninsLT18to64[[#This Row],[Alternate Adj. Total]]*(UninsLT18to64[[#This Row],[400% FPL and over - Uninsured]]/UninsLT18to64[[#This Row],[Total]])</f>
        <v>393</v>
      </c>
      <c r="O60" s="96">
        <v>168</v>
      </c>
      <c r="P60" s="64">
        <f>SUM(UninsLT18to64[[#This Row],[Below 138% of FPL - Uninsured]]+UninsLT18to64[[#This Row],[138 to 199% of FPL - Uninsured]]+UninsLT18to64[[#This Row],[200 to 399% of FPL - Uninsured]]+UninsLT18to64[[#This Row],[400% FPL and over - Uninsured]])</f>
        <v>728</v>
      </c>
      <c r="Q60" s="83">
        <v>0.10002584056371165</v>
      </c>
      <c r="R6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728</v>
      </c>
      <c r="S60" s="70">
        <f>IF(UninsLT18to64[[#This Row],[Total]]&lt;1000,UninsLT18to64[[#This Row],[Total]],MAX(VLOOKUP(UninsLT18to64[[#This Row],[ZIP Code]],IRSzipToCntyTbl[#All],3,0),(UninsLT18to64[[#This Row],[Total]]-(109811*(VLOOKUP(UninsLT18to64[[#This Row],[ZIP Code]],CitizenshipTbl[#All],4,0))))*0.8))</f>
        <v>728</v>
      </c>
      <c r="V60" s="71"/>
    </row>
    <row r="61" spans="1:22" x14ac:dyDescent="0.3">
      <c r="A61" s="62">
        <v>20832</v>
      </c>
      <c r="B61" s="63" t="str">
        <f>VLOOKUP(A61,ZipToCntyTbl[#All],2,0)</f>
        <v>Olney</v>
      </c>
      <c r="C61" s="63" t="str">
        <f>VLOOKUP(A61,ZipToCntyTbl[#All],3,0)</f>
        <v>Montgomery</v>
      </c>
      <c r="D61" s="63">
        <v>15</v>
      </c>
      <c r="E61" s="93">
        <f>UninsLT18to64[[#This Row],[Alternate Adj. Total]]*(UninsLT18to64[[#This Row],[Below 138% of FPL - Uninsured]]/UninsLT18to64[[#This Row],[Total]])</f>
        <v>15</v>
      </c>
      <c r="F61" s="96">
        <v>75</v>
      </c>
      <c r="G61" s="63">
        <v>44</v>
      </c>
      <c r="H61" s="93">
        <f>UninsLT18to64[[#This Row],[Alternate Adj. Total]]*(UninsLT18to64[[#This Row],[138 to 199% of FPL - Uninsured]]/UninsLT18to64[[#This Row],[Total]])</f>
        <v>44</v>
      </c>
      <c r="I61" s="96">
        <v>51</v>
      </c>
      <c r="J61" s="63">
        <v>205</v>
      </c>
      <c r="K61" s="93">
        <f>UninsLT18to64[[#This Row],[Alternate Adj. Total]]*(UninsLT18to64[[#This Row],[200 to 399% of FPL - Uninsured]]/UninsLT18to64[[#This Row],[Total]])</f>
        <v>205</v>
      </c>
      <c r="L61" s="96">
        <v>150</v>
      </c>
      <c r="M61" s="63">
        <v>219</v>
      </c>
      <c r="N61" s="93">
        <f>UninsLT18to64[[#This Row],[Alternate Adj. Total]]*(UninsLT18to64[[#This Row],[400% FPL and over - Uninsured]]/UninsLT18to64[[#This Row],[Total]])</f>
        <v>219</v>
      </c>
      <c r="O61" s="96">
        <v>129</v>
      </c>
      <c r="P61" s="64">
        <f>SUM(UninsLT18to64[[#This Row],[Below 138% of FPL - Uninsured]]+UninsLT18to64[[#This Row],[138 to 199% of FPL - Uninsured]]+UninsLT18to64[[#This Row],[200 to 399% of FPL - Uninsured]]+UninsLT18to64[[#This Row],[400% FPL and over - Uninsured]])</f>
        <v>483</v>
      </c>
      <c r="Q61" s="83">
        <v>0.15076358577718857</v>
      </c>
      <c r="R6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483</v>
      </c>
      <c r="S61" s="70">
        <f>IF(UninsLT18to64[[#This Row],[Total]]&lt;1000,UninsLT18to64[[#This Row],[Total]],MAX(VLOOKUP(UninsLT18to64[[#This Row],[ZIP Code]],IRSzipToCntyTbl[#All],3,0),(UninsLT18to64[[#This Row],[Total]]-(109811*(VLOOKUP(UninsLT18to64[[#This Row],[ZIP Code]],CitizenshipTbl[#All],4,0))))*0.8))</f>
        <v>483</v>
      </c>
      <c r="V61" s="71"/>
    </row>
    <row r="62" spans="1:22" x14ac:dyDescent="0.3">
      <c r="A62" s="62">
        <v>20833</v>
      </c>
      <c r="B62" s="63" t="str">
        <f>VLOOKUP(A62,ZipToCntyTbl[#All],2,0)</f>
        <v>Brookeville</v>
      </c>
      <c r="C62" s="63" t="str">
        <f>VLOOKUP(A62,ZipToCntyTbl[#All],3,0)</f>
        <v>Montgomery</v>
      </c>
      <c r="D62" s="63">
        <v>29</v>
      </c>
      <c r="E62" s="93">
        <f>UninsLT18to64[[#This Row],[Alternate Adj. Total]]*(UninsLT18to64[[#This Row],[Below 138% of FPL - Uninsured]]/UninsLT18to64[[#This Row],[Total]])</f>
        <v>29</v>
      </c>
      <c r="F62" s="96">
        <v>77</v>
      </c>
      <c r="G62" s="63">
        <v>58</v>
      </c>
      <c r="H62" s="93">
        <f>UninsLT18to64[[#This Row],[Alternate Adj. Total]]*(UninsLT18to64[[#This Row],[138 to 199% of FPL - Uninsured]]/UninsLT18to64[[#This Row],[Total]])</f>
        <v>58</v>
      </c>
      <c r="I62" s="96">
        <v>86</v>
      </c>
      <c r="J62" s="63">
        <v>20</v>
      </c>
      <c r="K62" s="93">
        <f>UninsLT18to64[[#This Row],[Alternate Adj. Total]]*(UninsLT18to64[[#This Row],[200 to 399% of FPL - Uninsured]]/UninsLT18to64[[#This Row],[Total]])</f>
        <v>20</v>
      </c>
      <c r="L62" s="96">
        <v>46</v>
      </c>
      <c r="M62" s="63">
        <v>219</v>
      </c>
      <c r="N62" s="93">
        <f>UninsLT18to64[[#This Row],[Alternate Adj. Total]]*(UninsLT18to64[[#This Row],[400% FPL and over - Uninsured]]/UninsLT18to64[[#This Row],[Total]])</f>
        <v>219</v>
      </c>
      <c r="O62" s="96">
        <v>130</v>
      </c>
      <c r="P62" s="64">
        <f>SUM(UninsLT18to64[[#This Row],[Below 138% of FPL - Uninsured]]+UninsLT18to64[[#This Row],[138 to 199% of FPL - Uninsured]]+UninsLT18to64[[#This Row],[200 to 399% of FPL - Uninsured]]+UninsLT18to64[[#This Row],[400% FPL and over - Uninsured]])</f>
        <v>326</v>
      </c>
      <c r="Q62" s="83">
        <v>0.22337058874350332</v>
      </c>
      <c r="R6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326</v>
      </c>
      <c r="S62" s="70">
        <f>IF(UninsLT18to64[[#This Row],[Total]]&lt;1000,UninsLT18to64[[#This Row],[Total]],MAX(VLOOKUP(UninsLT18to64[[#This Row],[ZIP Code]],IRSzipToCntyTbl[#All],3,0),(UninsLT18to64[[#This Row],[Total]]-(109811*(VLOOKUP(UninsLT18to64[[#This Row],[ZIP Code]],CitizenshipTbl[#All],4,0))))*0.8))</f>
        <v>326</v>
      </c>
      <c r="V62" s="71"/>
    </row>
    <row r="63" spans="1:22" x14ac:dyDescent="0.3">
      <c r="A63" s="62">
        <v>20841</v>
      </c>
      <c r="B63" s="63" t="str">
        <f>VLOOKUP(A63,ZipToCntyTbl[#All],2,0)</f>
        <v>Boyds</v>
      </c>
      <c r="C63" s="63" t="str">
        <f>VLOOKUP(A63,ZipToCntyTbl[#All],3,0)</f>
        <v>Montgomery</v>
      </c>
      <c r="D63" s="63">
        <v>84</v>
      </c>
      <c r="E63" s="93">
        <f>UninsLT18to64[[#This Row],[Alternate Adj. Total]]*(UninsLT18to64[[#This Row],[Below 138% of FPL - Uninsured]]/UninsLT18to64[[#This Row],[Total]])</f>
        <v>84</v>
      </c>
      <c r="F63" s="96">
        <v>165</v>
      </c>
      <c r="G63" s="63">
        <v>20</v>
      </c>
      <c r="H63" s="93">
        <f>UninsLT18to64[[#This Row],[Alternate Adj. Total]]*(UninsLT18to64[[#This Row],[138 to 199% of FPL - Uninsured]]/UninsLT18to64[[#This Row],[Total]])</f>
        <v>20</v>
      </c>
      <c r="I63" s="96">
        <v>49</v>
      </c>
      <c r="J63" s="63">
        <v>74</v>
      </c>
      <c r="K63" s="93">
        <f>UninsLT18to64[[#This Row],[Alternate Adj. Total]]*(UninsLT18to64[[#This Row],[200 to 399% of FPL - Uninsured]]/UninsLT18to64[[#This Row],[Total]])</f>
        <v>74</v>
      </c>
      <c r="L63" s="96">
        <v>83</v>
      </c>
      <c r="M63" s="63">
        <v>91</v>
      </c>
      <c r="N63" s="93">
        <f>UninsLT18to64[[#This Row],[Alternate Adj. Total]]*(UninsLT18to64[[#This Row],[400% FPL and over - Uninsured]]/UninsLT18to64[[#This Row],[Total]])</f>
        <v>91</v>
      </c>
      <c r="O63" s="96">
        <v>71</v>
      </c>
      <c r="P63" s="64">
        <f>SUM(UninsLT18to64[[#This Row],[Below 138% of FPL - Uninsured]]+UninsLT18to64[[#This Row],[138 to 199% of FPL - Uninsured]]+UninsLT18to64[[#This Row],[200 to 399% of FPL - Uninsured]]+UninsLT18to64[[#This Row],[400% FPL and over - Uninsured]])</f>
        <v>269</v>
      </c>
      <c r="Q63" s="83">
        <v>0.27070190308692221</v>
      </c>
      <c r="R6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269</v>
      </c>
      <c r="S63" s="70">
        <f>IF(UninsLT18to64[[#This Row],[Total]]&lt;1000,UninsLT18to64[[#This Row],[Total]],MAX(VLOOKUP(UninsLT18to64[[#This Row],[ZIP Code]],IRSzipToCntyTbl[#All],3,0),(UninsLT18to64[[#This Row],[Total]]-(109811*(VLOOKUP(UninsLT18to64[[#This Row],[ZIP Code]],CitizenshipTbl[#All],4,0))))*0.8))</f>
        <v>269</v>
      </c>
      <c r="V63" s="71"/>
    </row>
    <row r="64" spans="1:22" x14ac:dyDescent="0.3">
      <c r="A64" s="62">
        <v>20850</v>
      </c>
      <c r="B64" s="63" t="str">
        <f>VLOOKUP(A64,ZipToCntyTbl[#All],2,0)</f>
        <v>Rockville</v>
      </c>
      <c r="C64" s="63" t="str">
        <f>VLOOKUP(A64,ZipToCntyTbl[#All],3,0)</f>
        <v>Montgomery</v>
      </c>
      <c r="D64" s="63">
        <v>471</v>
      </c>
      <c r="E64" s="93">
        <f>UninsLT18to64[[#This Row],[Alternate Adj. Total]]*(UninsLT18to64[[#This Row],[Below 138% of FPL - Uninsured]]/UninsLT18to64[[#This Row],[Total]])</f>
        <v>274.80997416585529</v>
      </c>
      <c r="F64" s="96">
        <v>307</v>
      </c>
      <c r="G64" s="63">
        <v>321</v>
      </c>
      <c r="H64" s="93">
        <f>UninsLT18to64[[#This Row],[Alternate Adj. Total]]*(UninsLT18to64[[#This Row],[138 to 199% of FPL - Uninsured]]/UninsLT18to64[[#This Row],[Total]])</f>
        <v>187.29087411303516</v>
      </c>
      <c r="I64" s="96">
        <v>175</v>
      </c>
      <c r="J64" s="63">
        <v>1020</v>
      </c>
      <c r="K64" s="93">
        <f>UninsLT18to64[[#This Row],[Alternate Adj. Total]]*(UninsLT18to64[[#This Row],[200 to 399% of FPL - Uninsured]]/UninsLT18to64[[#This Row],[Total]])</f>
        <v>595.12988035917715</v>
      </c>
      <c r="L64" s="96">
        <v>365</v>
      </c>
      <c r="M64" s="63">
        <v>785</v>
      </c>
      <c r="N64" s="93">
        <f>UninsLT18to64[[#This Row],[Alternate Adj. Total]]*(UninsLT18to64[[#This Row],[400% FPL and over - Uninsured]]/UninsLT18to64[[#This Row],[Total]])</f>
        <v>458.01662360975888</v>
      </c>
      <c r="O64" s="96">
        <v>268</v>
      </c>
      <c r="P64" s="64">
        <f>SUM(UninsLT18to64[[#This Row],[Below 138% of FPL - Uninsured]]+UninsLT18to64[[#This Row],[138 to 199% of FPL - Uninsured]]+UninsLT18to64[[#This Row],[200 to 399% of FPL - Uninsured]]+UninsLT18to64[[#This Row],[400% FPL and over - Uninsured]])</f>
        <v>2597</v>
      </c>
      <c r="Q64" s="83">
        <v>2.8039588729450168E-2</v>
      </c>
      <c r="R6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1276</v>
      </c>
      <c r="S64" s="70">
        <f>IF(UninsLT18to64[[#This Row],[Total]]&lt;1000,UninsLT18to64[[#This Row],[Total]],MAX(VLOOKUP(UninsLT18to64[[#This Row],[ZIP Code]],IRSzipToCntyTbl[#All],3,0),(UninsLT18to64[[#This Row],[Total]]-(109811*(VLOOKUP(UninsLT18to64[[#This Row],[ZIP Code]],CitizenshipTbl[#All],4,0))))*0.8))</f>
        <v>1515.2473522478265</v>
      </c>
      <c r="V64" s="71"/>
    </row>
    <row r="65" spans="1:22" x14ac:dyDescent="0.3">
      <c r="A65" s="62">
        <v>20851</v>
      </c>
      <c r="B65" s="63" t="str">
        <f>VLOOKUP(A65,ZipToCntyTbl[#All],2,0)</f>
        <v>Rockville</v>
      </c>
      <c r="C65" s="63" t="str">
        <f>VLOOKUP(A65,ZipToCntyTbl[#All],3,0)</f>
        <v>Montgomery</v>
      </c>
      <c r="D65" s="63">
        <v>1154</v>
      </c>
      <c r="E65" s="93">
        <f>UninsLT18to64[[#This Row],[Alternate Adj. Total]]*(UninsLT18to64[[#This Row],[Below 138% of FPL - Uninsured]]/UninsLT18to64[[#This Row],[Total]])</f>
        <v>397.50364751795024</v>
      </c>
      <c r="F65" s="96">
        <v>895</v>
      </c>
      <c r="G65" s="63">
        <v>332</v>
      </c>
      <c r="H65" s="93">
        <f>UninsLT18to64[[#This Row],[Alternate Adj. Total]]*(UninsLT18to64[[#This Row],[138 to 199% of FPL - Uninsured]]/UninsLT18to64[[#This Row],[Total]])</f>
        <v>114.3598015389597</v>
      </c>
      <c r="I65" s="96">
        <v>219</v>
      </c>
      <c r="J65" s="63">
        <v>1334</v>
      </c>
      <c r="K65" s="93">
        <f>UninsLT18to64[[#This Row],[Alternate Adj. Total]]*(UninsLT18to64[[#This Row],[200 to 399% of FPL - Uninsured]]/UninsLT18to64[[#This Row],[Total]])</f>
        <v>459.50594955714524</v>
      </c>
      <c r="L65" s="96">
        <v>504</v>
      </c>
      <c r="M65" s="63">
        <v>175</v>
      </c>
      <c r="N65" s="93">
        <f>UninsLT18to64[[#This Row],[Alternate Adj. Total]]*(UninsLT18to64[[#This Row],[400% FPL and over - Uninsured]]/UninsLT18to64[[#This Row],[Total]])</f>
        <v>60.280015871439602</v>
      </c>
      <c r="O65" s="96">
        <v>120</v>
      </c>
      <c r="P65" s="64">
        <f>SUM(UninsLT18to64[[#This Row],[Below 138% of FPL - Uninsured]]+UninsLT18to64[[#This Row],[138 to 199% of FPL - Uninsured]]+UninsLT18to64[[#This Row],[200 to 399% of FPL - Uninsured]]+UninsLT18to64[[#This Row],[400% FPL and over - Uninsured]])</f>
        <v>2995</v>
      </c>
      <c r="Q65" s="83">
        <v>2.4313459743032416E-2</v>
      </c>
      <c r="R6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451.20000000000005</v>
      </c>
      <c r="S65" s="70">
        <f>IF(UninsLT18to64[[#This Row],[Total]]&lt;1000,UninsLT18to64[[#This Row],[Total]],MAX(VLOOKUP(UninsLT18to64[[#This Row],[ZIP Code]],IRSzipToCntyTbl[#All],3,0),(UninsLT18to64[[#This Row],[Total]]-(109811*(VLOOKUP(UninsLT18to64[[#This Row],[ZIP Code]],CitizenshipTbl[#All],4,0))))*0.8))</f>
        <v>1031.6494144854948</v>
      </c>
      <c r="V65" s="71"/>
    </row>
    <row r="66" spans="1:22" x14ac:dyDescent="0.3">
      <c r="A66" s="62">
        <v>20852</v>
      </c>
      <c r="B66" s="63" t="str">
        <f>VLOOKUP(A66,ZipToCntyTbl[#All],2,0)</f>
        <v>Rockville</v>
      </c>
      <c r="C66" s="63" t="str">
        <f>VLOOKUP(A66,ZipToCntyTbl[#All],3,0)</f>
        <v>Montgomery</v>
      </c>
      <c r="D66" s="63">
        <v>579</v>
      </c>
      <c r="E66" s="93">
        <f>UninsLT18to64[[#This Row],[Alternate Adj. Total]]*(UninsLT18to64[[#This Row],[Below 138% of FPL - Uninsured]]/UninsLT18to64[[#This Row],[Total]])</f>
        <v>276.80469303846928</v>
      </c>
      <c r="F66" s="96">
        <v>413</v>
      </c>
      <c r="G66" s="63">
        <v>678</v>
      </c>
      <c r="H66" s="93">
        <f>UninsLT18to64[[#This Row],[Alternate Adj. Total]]*(UninsLT18to64[[#This Row],[138 to 199% of FPL - Uninsured]]/UninsLT18to64[[#This Row],[Total]])</f>
        <v>324.1339928844252</v>
      </c>
      <c r="I66" s="96">
        <v>526</v>
      </c>
      <c r="J66" s="63">
        <v>450</v>
      </c>
      <c r="K66" s="93">
        <f>UninsLT18to64[[#This Row],[Alternate Adj. Total]]*(UninsLT18to64[[#This Row],[200 to 399% of FPL - Uninsured]]/UninsLT18to64[[#This Row],[Total]])</f>
        <v>215.13318111798131</v>
      </c>
      <c r="L66" s="96">
        <v>252</v>
      </c>
      <c r="M66" s="63">
        <v>718</v>
      </c>
      <c r="N66" s="93">
        <f>UninsLT18to64[[#This Row],[Alternate Adj. Total]]*(UninsLT18to64[[#This Row],[400% FPL and over - Uninsured]]/UninsLT18to64[[#This Row],[Total]])</f>
        <v>343.25694231713464</v>
      </c>
      <c r="O66" s="96">
        <v>333</v>
      </c>
      <c r="P66" s="64">
        <f>SUM(UninsLT18to64[[#This Row],[Below 138% of FPL - Uninsured]]+UninsLT18to64[[#This Row],[138 to 199% of FPL - Uninsured]]+UninsLT18to64[[#This Row],[200 to 399% of FPL - Uninsured]]+UninsLT18to64[[#This Row],[400% FPL and over - Uninsured]])</f>
        <v>2425</v>
      </c>
      <c r="Q66" s="83">
        <v>3.0028376053765807E-2</v>
      </c>
      <c r="R6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827.2</v>
      </c>
      <c r="S66" s="70">
        <f>IF(UninsLT18to64[[#This Row],[Total]]&lt;1000,UninsLT18to64[[#This Row],[Total]],MAX(VLOOKUP(UninsLT18to64[[#This Row],[ZIP Code]],IRSzipToCntyTbl[#All],3,0),(UninsLT18to64[[#This Row],[Total]]-(109811*(VLOOKUP(UninsLT18to64[[#This Row],[ZIP Code]],CitizenshipTbl[#All],4,0))))*0.8))</f>
        <v>1159.3288093580104</v>
      </c>
      <c r="V66" s="71"/>
    </row>
    <row r="67" spans="1:22" x14ac:dyDescent="0.3">
      <c r="A67" s="62">
        <v>20853</v>
      </c>
      <c r="B67" s="63" t="str">
        <f>VLOOKUP(A67,ZipToCntyTbl[#All],2,0)</f>
        <v>Rockville</v>
      </c>
      <c r="C67" s="63" t="str">
        <f>VLOOKUP(A67,ZipToCntyTbl[#All],3,0)</f>
        <v>Montgomery</v>
      </c>
      <c r="D67" s="63">
        <v>657</v>
      </c>
      <c r="E67" s="93">
        <f>UninsLT18to64[[#This Row],[Alternate Adj. Total]]*(UninsLT18to64[[#This Row],[Below 138% of FPL - Uninsured]]/UninsLT18to64[[#This Row],[Total]])</f>
        <v>321.49668467205515</v>
      </c>
      <c r="F67" s="96">
        <v>411</v>
      </c>
      <c r="G67" s="63">
        <v>790</v>
      </c>
      <c r="H67" s="93">
        <f>UninsLT18to64[[#This Row],[Alternate Adj. Total]]*(UninsLT18to64[[#This Row],[138 to 199% of FPL - Uninsured]]/UninsLT18to64[[#This Row],[Total]])</f>
        <v>386.57896634843769</v>
      </c>
      <c r="I67" s="96">
        <v>457</v>
      </c>
      <c r="J67" s="63">
        <v>690</v>
      </c>
      <c r="K67" s="93">
        <f>UninsLT18to64[[#This Row],[Alternate Adj. Total]]*(UninsLT18to64[[#This Row],[200 to 399% of FPL - Uninsured]]/UninsLT18to64[[#This Row],[Total]])</f>
        <v>337.64491997521776</v>
      </c>
      <c r="L67" s="96">
        <v>303</v>
      </c>
      <c r="M67" s="63">
        <v>665</v>
      </c>
      <c r="N67" s="93">
        <f>UninsLT18to64[[#This Row],[Alternate Adj. Total]]*(UninsLT18to64[[#This Row],[400% FPL and over - Uninsured]]/UninsLT18to64[[#This Row],[Total]])</f>
        <v>325.41140838191274</v>
      </c>
      <c r="O67" s="96">
        <v>404</v>
      </c>
      <c r="P67" s="64">
        <f>SUM(UninsLT18to64[[#This Row],[Below 138% of FPL - Uninsured]]+UninsLT18to64[[#This Row],[138 to 199% of FPL - Uninsured]]+UninsLT18to64[[#This Row],[200 to 399% of FPL - Uninsured]]+UninsLT18to64[[#This Row],[400% FPL and over - Uninsured]])</f>
        <v>2802</v>
      </c>
      <c r="Q67" s="83">
        <v>2.5988155578294821E-2</v>
      </c>
      <c r="R6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1000.8000000000001</v>
      </c>
      <c r="S67" s="70">
        <f>IF(UninsLT18to64[[#This Row],[Total]]&lt;1000,UninsLT18to64[[#This Row],[Total]],MAX(VLOOKUP(UninsLT18to64[[#This Row],[ZIP Code]],IRSzipToCntyTbl[#All],3,0),(UninsLT18to64[[#This Row],[Total]]-(109811*(VLOOKUP(UninsLT18to64[[#This Row],[ZIP Code]],CitizenshipTbl[#All],4,0))))*0.8))</f>
        <v>1371.1319793776233</v>
      </c>
      <c r="V67" s="71"/>
    </row>
    <row r="68" spans="1:22" x14ac:dyDescent="0.3">
      <c r="A68" s="62">
        <v>20854</v>
      </c>
      <c r="B68" s="63" t="str">
        <f>VLOOKUP(A68,ZipToCntyTbl[#All],2,0)</f>
        <v>Potomac</v>
      </c>
      <c r="C68" s="63" t="str">
        <f>VLOOKUP(A68,ZipToCntyTbl[#All],3,0)</f>
        <v>Montgomery</v>
      </c>
      <c r="D68" s="63">
        <v>64</v>
      </c>
      <c r="E68" s="93">
        <f>UninsLT18to64[[#This Row],[Alternate Adj. Total]]*(UninsLT18to64[[#This Row],[Below 138% of FPL - Uninsured]]/UninsLT18to64[[#This Row],[Total]])</f>
        <v>27.911650644778241</v>
      </c>
      <c r="F68" s="96">
        <v>103</v>
      </c>
      <c r="G68" s="63">
        <v>128</v>
      </c>
      <c r="H68" s="93">
        <f>UninsLT18to64[[#This Row],[Alternate Adj. Total]]*(UninsLT18to64[[#This Row],[138 to 199% of FPL - Uninsured]]/UninsLT18to64[[#This Row],[Total]])</f>
        <v>55.823301289556483</v>
      </c>
      <c r="I68" s="96">
        <v>155</v>
      </c>
      <c r="J68" s="63">
        <v>203</v>
      </c>
      <c r="K68" s="93">
        <f>UninsLT18to64[[#This Row],[Alternate Adj. Total]]*(UninsLT18to64[[#This Row],[200 to 399% of FPL - Uninsured]]/UninsLT18to64[[#This Row],[Total]])</f>
        <v>88.53226688890598</v>
      </c>
      <c r="L68" s="96">
        <v>149</v>
      </c>
      <c r="M68" s="63">
        <v>643</v>
      </c>
      <c r="N68" s="93">
        <f>UninsLT18to64[[#This Row],[Alternate Adj. Total]]*(UninsLT18to64[[#This Row],[400% FPL and over - Uninsured]]/UninsLT18to64[[#This Row],[Total]])</f>
        <v>280.42486507175636</v>
      </c>
      <c r="O68" s="96">
        <v>341</v>
      </c>
      <c r="P68" s="64">
        <f>SUM(UninsLT18to64[[#This Row],[Below 138% of FPL - Uninsured]]+UninsLT18to64[[#This Row],[138 to 199% of FPL - Uninsured]]+UninsLT18to64[[#This Row],[200 to 399% of FPL - Uninsured]]+UninsLT18to64[[#This Row],[400% FPL and over - Uninsured]])</f>
        <v>1038</v>
      </c>
      <c r="Q68" s="83">
        <v>7.0152998006148437E-2</v>
      </c>
      <c r="R6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292</v>
      </c>
      <c r="S68" s="70">
        <f>IF(UninsLT18to64[[#This Row],[Total]]&lt;1000,UninsLT18to64[[#This Row],[Total]],MAX(VLOOKUP(UninsLT18to64[[#This Row],[ZIP Code]],IRSzipToCntyTbl[#All],3,0),(UninsLT18to64[[#This Row],[Total]]-(109811*(VLOOKUP(UninsLT18to64[[#This Row],[ZIP Code]],CitizenshipTbl[#All],4,0))))*0.8))</f>
        <v>452.6920838949971</v>
      </c>
      <c r="V68" s="71"/>
    </row>
    <row r="69" spans="1:22" x14ac:dyDescent="0.3">
      <c r="A69" s="62">
        <v>20855</v>
      </c>
      <c r="B69" s="63" t="str">
        <f>VLOOKUP(A69,ZipToCntyTbl[#All],2,0)</f>
        <v>Derwood</v>
      </c>
      <c r="C69" s="63" t="str">
        <f>VLOOKUP(A69,ZipToCntyTbl[#All],3,0)</f>
        <v>Montgomery</v>
      </c>
      <c r="D69" s="63">
        <v>78</v>
      </c>
      <c r="E69" s="93">
        <f>UninsLT18to64[[#This Row],[Alternate Adj. Total]]*(UninsLT18to64[[#This Row],[Below 138% of FPL - Uninsured]]/UninsLT18to64[[#This Row],[Total]])</f>
        <v>78</v>
      </c>
      <c r="F69" s="96">
        <v>128</v>
      </c>
      <c r="G69" s="63">
        <v>296</v>
      </c>
      <c r="H69" s="93">
        <f>UninsLT18to64[[#This Row],[Alternate Adj. Total]]*(UninsLT18to64[[#This Row],[138 to 199% of FPL - Uninsured]]/UninsLT18to64[[#This Row],[Total]])</f>
        <v>296</v>
      </c>
      <c r="I69" s="96">
        <v>351</v>
      </c>
      <c r="J69" s="63">
        <v>206</v>
      </c>
      <c r="K69" s="93">
        <f>UninsLT18to64[[#This Row],[Alternate Adj. Total]]*(UninsLT18to64[[#This Row],[200 to 399% of FPL - Uninsured]]/UninsLT18to64[[#This Row],[Total]])</f>
        <v>206</v>
      </c>
      <c r="L69" s="96">
        <v>122</v>
      </c>
      <c r="M69" s="63">
        <v>178</v>
      </c>
      <c r="N69" s="93">
        <f>UninsLT18to64[[#This Row],[Alternate Adj. Total]]*(UninsLT18to64[[#This Row],[400% FPL and over - Uninsured]]/UninsLT18to64[[#This Row],[Total]])</f>
        <v>178</v>
      </c>
      <c r="O69" s="96">
        <v>121</v>
      </c>
      <c r="P69" s="64">
        <f>SUM(UninsLT18to64[[#This Row],[Below 138% of FPL - Uninsured]]+UninsLT18to64[[#This Row],[138 to 199% of FPL - Uninsured]]+UninsLT18to64[[#This Row],[200 to 399% of FPL - Uninsured]]+UninsLT18to64[[#This Row],[400% FPL and over - Uninsured]])</f>
        <v>758</v>
      </c>
      <c r="Q69" s="83">
        <v>9.6067034208947341E-2</v>
      </c>
      <c r="R6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758</v>
      </c>
      <c r="S69" s="70">
        <f>IF(UninsLT18to64[[#This Row],[Total]]&lt;1000,UninsLT18to64[[#This Row],[Total]],MAX(VLOOKUP(UninsLT18to64[[#This Row],[ZIP Code]],IRSzipToCntyTbl[#All],3,0),(UninsLT18to64[[#This Row],[Total]]-(109811*(VLOOKUP(UninsLT18to64[[#This Row],[ZIP Code]],CitizenshipTbl[#All],4,0))))*0.8))</f>
        <v>758</v>
      </c>
      <c r="V69" s="71"/>
    </row>
    <row r="70" spans="1:22" x14ac:dyDescent="0.3">
      <c r="A70" s="62">
        <v>20866</v>
      </c>
      <c r="B70" s="63" t="str">
        <f>VLOOKUP(A70,ZipToCntyTbl[#All],2,0)</f>
        <v>Burtonsville</v>
      </c>
      <c r="C70" s="63" t="str">
        <f>VLOOKUP(A70,ZipToCntyTbl[#All],3,0)</f>
        <v>Montgomery</v>
      </c>
      <c r="D70" s="63">
        <v>438</v>
      </c>
      <c r="E70" s="93">
        <f>UninsLT18to64[[#This Row],[Alternate Adj. Total]]*(UninsLT18to64[[#This Row],[Below 138% of FPL - Uninsured]]/UninsLT18to64[[#This Row],[Total]])</f>
        <v>230.94795636337921</v>
      </c>
      <c r="F70" s="96">
        <v>461</v>
      </c>
      <c r="G70" s="63">
        <v>113</v>
      </c>
      <c r="H70" s="93">
        <f>UninsLT18to64[[#This Row],[Alternate Adj. Total]]*(UninsLT18to64[[#This Row],[138 to 199% of FPL - Uninsured]]/UninsLT18to64[[#This Row],[Total]])</f>
        <v>59.582463627995089</v>
      </c>
      <c r="I70" s="96">
        <v>119</v>
      </c>
      <c r="J70" s="63">
        <v>722</v>
      </c>
      <c r="K70" s="93">
        <f>UninsLT18to64[[#This Row],[Alternate Adj. Total]]*(UninsLT18to64[[#This Row],[200 to 399% of FPL - Uninsured]]/UninsLT18to64[[#This Row],[Total]])</f>
        <v>380.69503309214559</v>
      </c>
      <c r="L70" s="96">
        <v>439</v>
      </c>
      <c r="M70" s="63">
        <v>149</v>
      </c>
      <c r="N70" s="93">
        <f>UninsLT18to64[[#This Row],[Alternate Adj. Total]]*(UninsLT18to64[[#This Row],[400% FPL and over - Uninsured]]/UninsLT18to64[[#This Row],[Total]])</f>
        <v>78.564487438683784</v>
      </c>
      <c r="O70" s="96">
        <v>100</v>
      </c>
      <c r="P70" s="64">
        <f>SUM(UninsLT18to64[[#This Row],[Below 138% of FPL - Uninsured]]+UninsLT18to64[[#This Row],[138 to 199% of FPL - Uninsured]]+UninsLT18to64[[#This Row],[200 to 399% of FPL - Uninsured]]+UninsLT18to64[[#This Row],[400% FPL and over - Uninsured]])</f>
        <v>1422</v>
      </c>
      <c r="Q70" s="83">
        <v>5.1208728502378398E-2</v>
      </c>
      <c r="R7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584.80000000000007</v>
      </c>
      <c r="S70" s="70">
        <f>IF(UninsLT18to64[[#This Row],[Total]]&lt;1000,UninsLT18to64[[#This Row],[Total]],MAX(VLOOKUP(UninsLT18to64[[#This Row],[ZIP Code]],IRSzipToCntyTbl[#All],3,0),(UninsLT18to64[[#This Row],[Total]]-(109811*(VLOOKUP(UninsLT18to64[[#This Row],[ZIP Code]],CitizenshipTbl[#All],4,0))))*0.8))</f>
        <v>749.78994052220366</v>
      </c>
      <c r="V70" s="71"/>
    </row>
    <row r="71" spans="1:22" x14ac:dyDescent="0.3">
      <c r="A71" s="62">
        <v>20871</v>
      </c>
      <c r="B71" s="63" t="str">
        <f>VLOOKUP(A71,ZipToCntyTbl[#All],2,0)</f>
        <v>Clarksburg</v>
      </c>
      <c r="C71" s="63" t="str">
        <f>VLOOKUP(A71,ZipToCntyTbl[#All],3,0)</f>
        <v>Montgomery</v>
      </c>
      <c r="D71" s="63">
        <v>168</v>
      </c>
      <c r="E71" s="93">
        <f>UninsLT18to64[[#This Row],[Alternate Adj. Total]]*(UninsLT18to64[[#This Row],[Below 138% of FPL - Uninsured]]/UninsLT18to64[[#This Row],[Total]])</f>
        <v>168</v>
      </c>
      <c r="F71" s="96">
        <v>206</v>
      </c>
      <c r="G71" s="63">
        <v>49</v>
      </c>
      <c r="H71" s="93">
        <f>UninsLT18to64[[#This Row],[Alternate Adj. Total]]*(UninsLT18to64[[#This Row],[138 to 199% of FPL - Uninsured]]/UninsLT18to64[[#This Row],[Total]])</f>
        <v>49</v>
      </c>
      <c r="I71" s="96">
        <v>79</v>
      </c>
      <c r="J71" s="63">
        <v>181</v>
      </c>
      <c r="K71" s="93">
        <f>UninsLT18to64[[#This Row],[Alternate Adj. Total]]*(UninsLT18to64[[#This Row],[200 to 399% of FPL - Uninsured]]/UninsLT18to64[[#This Row],[Total]])</f>
        <v>181</v>
      </c>
      <c r="L71" s="96">
        <v>137</v>
      </c>
      <c r="M71" s="63">
        <v>549</v>
      </c>
      <c r="N71" s="93">
        <f>UninsLT18to64[[#This Row],[Alternate Adj. Total]]*(UninsLT18to64[[#This Row],[400% FPL and over - Uninsured]]/UninsLT18to64[[#This Row],[Total]])</f>
        <v>549</v>
      </c>
      <c r="O71" s="96">
        <v>292</v>
      </c>
      <c r="P71" s="64">
        <f>SUM(UninsLT18to64[[#This Row],[Below 138% of FPL - Uninsured]]+UninsLT18to64[[#This Row],[138 to 199% of FPL - Uninsured]]+UninsLT18to64[[#This Row],[200 to 399% of FPL - Uninsured]]+UninsLT18to64[[#This Row],[400% FPL and over - Uninsured]])</f>
        <v>947</v>
      </c>
      <c r="Q71" s="83">
        <v>7.6894204783930387E-2</v>
      </c>
      <c r="R7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947</v>
      </c>
      <c r="S71" s="70">
        <f>IF(UninsLT18to64[[#This Row],[Total]]&lt;1000,UninsLT18to64[[#This Row],[Total]],MAX(VLOOKUP(UninsLT18to64[[#This Row],[ZIP Code]],IRSzipToCntyTbl[#All],3,0),(UninsLT18to64[[#This Row],[Total]]-(109811*(VLOOKUP(UninsLT18to64[[#This Row],[ZIP Code]],CitizenshipTbl[#All],4,0))))*0.8))</f>
        <v>947</v>
      </c>
      <c r="V71" s="71"/>
    </row>
    <row r="72" spans="1:22" x14ac:dyDescent="0.3">
      <c r="A72" s="62">
        <v>20872</v>
      </c>
      <c r="B72" s="63" t="str">
        <f>VLOOKUP(A72,ZipToCntyTbl[#All],2,0)</f>
        <v>Damascus</v>
      </c>
      <c r="C72" s="63" t="str">
        <f>VLOOKUP(A72,ZipToCntyTbl[#All],3,0)</f>
        <v>Montgomery</v>
      </c>
      <c r="D72" s="63">
        <v>84</v>
      </c>
      <c r="E72" s="93">
        <f>UninsLT18to64[[#This Row],[Alternate Adj. Total]]*(UninsLT18to64[[#This Row],[Below 138% of FPL - Uninsured]]/UninsLT18to64[[#This Row],[Total]])</f>
        <v>84</v>
      </c>
      <c r="F72" s="96">
        <v>108</v>
      </c>
      <c r="G72" s="63">
        <v>70</v>
      </c>
      <c r="H72" s="93">
        <f>UninsLT18to64[[#This Row],[Alternate Adj. Total]]*(UninsLT18to64[[#This Row],[138 to 199% of FPL - Uninsured]]/UninsLT18to64[[#This Row],[Total]])</f>
        <v>70</v>
      </c>
      <c r="I72" s="96">
        <v>83</v>
      </c>
      <c r="J72" s="63">
        <v>100</v>
      </c>
      <c r="K72" s="93">
        <f>UninsLT18to64[[#This Row],[Alternate Adj. Total]]*(UninsLT18to64[[#This Row],[200 to 399% of FPL - Uninsured]]/UninsLT18to64[[#This Row],[Total]])</f>
        <v>100</v>
      </c>
      <c r="L72" s="96">
        <v>85</v>
      </c>
      <c r="M72" s="63">
        <v>135</v>
      </c>
      <c r="N72" s="93">
        <f>UninsLT18to64[[#This Row],[Alternate Adj. Total]]*(UninsLT18to64[[#This Row],[400% FPL and over - Uninsured]]/UninsLT18to64[[#This Row],[Total]])</f>
        <v>135</v>
      </c>
      <c r="O72" s="96">
        <v>109</v>
      </c>
      <c r="P72" s="64">
        <f>SUM(UninsLT18to64[[#This Row],[Below 138% of FPL - Uninsured]]+UninsLT18to64[[#This Row],[138 to 199% of FPL - Uninsured]]+UninsLT18to64[[#This Row],[200 to 399% of FPL - Uninsured]]+UninsLT18to64[[#This Row],[400% FPL and over - Uninsured]])</f>
        <v>389</v>
      </c>
      <c r="Q72" s="83">
        <v>0.18719488928118788</v>
      </c>
      <c r="R7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389</v>
      </c>
      <c r="S72" s="70">
        <f>IF(UninsLT18to64[[#This Row],[Total]]&lt;1000,UninsLT18to64[[#This Row],[Total]],MAX(VLOOKUP(UninsLT18to64[[#This Row],[ZIP Code]],IRSzipToCntyTbl[#All],3,0),(UninsLT18to64[[#This Row],[Total]]-(109811*(VLOOKUP(UninsLT18to64[[#This Row],[ZIP Code]],CitizenshipTbl[#All],4,0))))*0.8))</f>
        <v>389</v>
      </c>
      <c r="V72" s="71"/>
    </row>
    <row r="73" spans="1:22" x14ac:dyDescent="0.3">
      <c r="A73" s="62">
        <v>20874</v>
      </c>
      <c r="B73" s="63" t="str">
        <f>VLOOKUP(A73,ZipToCntyTbl[#All],2,0)</f>
        <v>Germantown</v>
      </c>
      <c r="C73" s="63" t="str">
        <f>VLOOKUP(A73,ZipToCntyTbl[#All],3,0)</f>
        <v>Montgomery</v>
      </c>
      <c r="D73" s="63">
        <v>1253</v>
      </c>
      <c r="E73" s="93">
        <f>UninsLT18to64[[#This Row],[Alternate Adj. Total]]*(UninsLT18to64[[#This Row],[Below 138% of FPL - Uninsured]]/UninsLT18to64[[#This Row],[Total]])</f>
        <v>703.48730963659079</v>
      </c>
      <c r="F73" s="96">
        <v>718</v>
      </c>
      <c r="G73" s="63">
        <v>538</v>
      </c>
      <c r="H73" s="93">
        <f>UninsLT18to64[[#This Row],[Alternate Adj. Total]]*(UninsLT18to64[[#This Row],[138 to 199% of FPL - Uninsured]]/UninsLT18to64[[#This Row],[Total]])</f>
        <v>302.05600365880758</v>
      </c>
      <c r="I73" s="96">
        <v>279</v>
      </c>
      <c r="J73" s="63">
        <v>1718</v>
      </c>
      <c r="K73" s="93">
        <f>UninsLT18to64[[#This Row],[Alternate Adj. Total]]*(UninsLT18to64[[#This Row],[200 to 399% of FPL - Uninsured]]/UninsLT18to64[[#This Row],[Total]])</f>
        <v>964.5580191186458</v>
      </c>
      <c r="L73" s="96">
        <v>571</v>
      </c>
      <c r="M73" s="63">
        <v>928</v>
      </c>
      <c r="N73" s="93">
        <f>UninsLT18to64[[#This Row],[Alternate Adj. Total]]*(UninsLT18to64[[#This Row],[400% FPL and over - Uninsured]]/UninsLT18to64[[#This Row],[Total]])</f>
        <v>521.01853419214399</v>
      </c>
      <c r="O73" s="96">
        <v>358</v>
      </c>
      <c r="P73" s="64">
        <f>SUM(UninsLT18to64[[#This Row],[Below 138% of FPL - Uninsured]]+UninsLT18to64[[#This Row],[138 to 199% of FPL - Uninsured]]+UninsLT18to64[[#This Row],[200 to 399% of FPL - Uninsured]]+UninsLT18to64[[#This Row],[400% FPL and over - Uninsured]])</f>
        <v>4437</v>
      </c>
      <c r="Q73" s="83">
        <v>1.6411722319220664E-2</v>
      </c>
      <c r="R7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2040.8000000000002</v>
      </c>
      <c r="S73" s="70">
        <f>IF(UninsLT18to64[[#This Row],[Total]]&lt;1000,UninsLT18to64[[#This Row],[Total]],MAX(VLOOKUP(UninsLT18to64[[#This Row],[ZIP Code]],IRSzipToCntyTbl[#All],3,0),(UninsLT18to64[[#This Row],[Total]]-(109811*(VLOOKUP(UninsLT18to64[[#This Row],[ZIP Code]],CitizenshipTbl[#All],4,0))))*0.8))</f>
        <v>2491.1198666061882</v>
      </c>
      <c r="V73" s="71"/>
    </row>
    <row r="74" spans="1:22" x14ac:dyDescent="0.3">
      <c r="A74" s="62">
        <v>20876</v>
      </c>
      <c r="B74" s="63" t="str">
        <f>VLOOKUP(A74,ZipToCntyTbl[#All],2,0)</f>
        <v>Germantown</v>
      </c>
      <c r="C74" s="63" t="str">
        <f>VLOOKUP(A74,ZipToCntyTbl[#All],3,0)</f>
        <v>Montgomery</v>
      </c>
      <c r="D74" s="63">
        <v>436</v>
      </c>
      <c r="E74" s="93">
        <f>UninsLT18to64[[#This Row],[Alternate Adj. Total]]*(UninsLT18to64[[#This Row],[Below 138% of FPL - Uninsured]]/UninsLT18to64[[#This Row],[Total]])</f>
        <v>223.40780068452418</v>
      </c>
      <c r="F74" s="96">
        <v>311</v>
      </c>
      <c r="G74" s="63">
        <v>293</v>
      </c>
      <c r="H74" s="93">
        <f>UninsLT18to64[[#This Row],[Alternate Adj. Total]]*(UninsLT18to64[[#This Row],[138 to 199% of FPL - Uninsured]]/UninsLT18to64[[#This Row],[Total]])</f>
        <v>150.13414128570088</v>
      </c>
      <c r="I74" s="96">
        <v>180</v>
      </c>
      <c r="J74" s="63">
        <v>1172</v>
      </c>
      <c r="K74" s="93">
        <f>UninsLT18to64[[#This Row],[Alternate Adj. Total]]*(UninsLT18to64[[#This Row],[200 to 399% of FPL - Uninsured]]/UninsLT18to64[[#This Row],[Total]])</f>
        <v>600.53656514280351</v>
      </c>
      <c r="L74" s="96">
        <v>426</v>
      </c>
      <c r="M74" s="63">
        <v>390</v>
      </c>
      <c r="N74" s="93">
        <f>UninsLT18to64[[#This Row],[Alternate Adj. Total]]*(UninsLT18to64[[#This Row],[400% FPL and over - Uninsured]]/UninsLT18to64[[#This Row],[Total]])</f>
        <v>199.83725290588174</v>
      </c>
      <c r="O74" s="96">
        <v>166</v>
      </c>
      <c r="P74" s="64">
        <f>SUM(UninsLT18to64[[#This Row],[Below 138% of FPL - Uninsured]]+UninsLT18to64[[#This Row],[138 to 199% of FPL - Uninsured]]+UninsLT18to64[[#This Row],[200 to 399% of FPL - Uninsured]]+UninsLT18to64[[#This Row],[400% FPL and over - Uninsured]])</f>
        <v>2291</v>
      </c>
      <c r="Q74" s="83">
        <v>3.1784728035959005E-2</v>
      </c>
      <c r="R7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893.6</v>
      </c>
      <c r="S74" s="70">
        <f>IF(UninsLT18to64[[#This Row],[Total]]&lt;1000,UninsLT18to64[[#This Row],[Total]],MAX(VLOOKUP(UninsLT18to64[[#This Row],[ZIP Code]],IRSzipToCntyTbl[#All],3,0),(UninsLT18to64[[#This Row],[Total]]-(109811*(VLOOKUP(UninsLT18to64[[#This Row],[ZIP Code]],CitizenshipTbl[#All],4,0))))*0.8))</f>
        <v>1173.9157600189103</v>
      </c>
      <c r="V74" s="71"/>
    </row>
    <row r="75" spans="1:22" x14ac:dyDescent="0.3">
      <c r="A75" s="62">
        <v>20877</v>
      </c>
      <c r="B75" s="63" t="str">
        <f>VLOOKUP(A75,ZipToCntyTbl[#All],2,0)</f>
        <v>Gaithersburg</v>
      </c>
      <c r="C75" s="63" t="str">
        <f>VLOOKUP(A75,ZipToCntyTbl[#All],3,0)</f>
        <v>Montgomery</v>
      </c>
      <c r="D75" s="63">
        <v>2142</v>
      </c>
      <c r="E75" s="93">
        <f>UninsLT18to64[[#This Row],[Alternate Adj. Total]]*(UninsLT18to64[[#This Row],[Below 138% of FPL - Uninsured]]/UninsLT18to64[[#This Row],[Total]])</f>
        <v>863.22408414396727</v>
      </c>
      <c r="F75" s="96">
        <v>898</v>
      </c>
      <c r="G75" s="63">
        <v>1908</v>
      </c>
      <c r="H75" s="93">
        <f>UninsLT18to64[[#This Row],[Alternate Adj. Total]]*(UninsLT18to64[[#This Row],[138 to 199% of FPL - Uninsured]]/UninsLT18to64[[#This Row],[Total]])</f>
        <v>768.92229343916415</v>
      </c>
      <c r="I75" s="96">
        <v>633</v>
      </c>
      <c r="J75" s="63">
        <v>2143</v>
      </c>
      <c r="K75" s="93">
        <f>UninsLT18to64[[#This Row],[Alternate Adj. Total]]*(UninsLT18to64[[#This Row],[200 to 399% of FPL - Uninsured]]/UninsLT18to64[[#This Row],[Total]])</f>
        <v>863.62708324954326</v>
      </c>
      <c r="L75" s="96">
        <v>600</v>
      </c>
      <c r="M75" s="63">
        <v>816</v>
      </c>
      <c r="N75" s="93">
        <f>UninsLT18to64[[#This Row],[Alternate Adj. Total]]*(UninsLT18to64[[#This Row],[400% FPL and over - Uninsured]]/UninsLT18to64[[#This Row],[Total]])</f>
        <v>328.84727015008275</v>
      </c>
      <c r="O75" s="96">
        <v>403</v>
      </c>
      <c r="P75" s="64">
        <f>SUM(UninsLT18to64[[#This Row],[Below 138% of FPL - Uninsured]]+UninsLT18to64[[#This Row],[138 to 199% of FPL - Uninsured]]+UninsLT18to64[[#This Row],[200 to 399% of FPL - Uninsured]]+UninsLT18to64[[#This Row],[400% FPL and over - Uninsured]])</f>
        <v>7009</v>
      </c>
      <c r="Q75" s="83">
        <v>1.0389329709000155E-2</v>
      </c>
      <c r="R7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1640.8000000000002</v>
      </c>
      <c r="S75" s="70">
        <f>IF(UninsLT18to64[[#This Row],[Total]]&lt;1000,UninsLT18to64[[#This Row],[Total]],MAX(VLOOKUP(UninsLT18to64[[#This Row],[ZIP Code]],IRSzipToCntyTbl[#All],3,0),(UninsLT18to64[[#This Row],[Total]]-(109811*(VLOOKUP(UninsLT18to64[[#This Row],[ZIP Code]],CitizenshipTbl[#All],4,0))))*0.8))</f>
        <v>2824.6207309827573</v>
      </c>
      <c r="V75" s="71"/>
    </row>
    <row r="76" spans="1:22" x14ac:dyDescent="0.3">
      <c r="A76" s="62">
        <v>20878</v>
      </c>
      <c r="B76" s="63" t="str">
        <f>VLOOKUP(A76,ZipToCntyTbl[#All],2,0)</f>
        <v>Gaithersburg</v>
      </c>
      <c r="C76" s="63" t="str">
        <f>VLOOKUP(A76,ZipToCntyTbl[#All],3,0)</f>
        <v>Montgomery</v>
      </c>
      <c r="D76" s="63">
        <v>597</v>
      </c>
      <c r="E76" s="93">
        <f>UninsLT18to64[[#This Row],[Alternate Adj. Total]]*(UninsLT18to64[[#This Row],[Below 138% of FPL - Uninsured]]/UninsLT18to64[[#This Row],[Total]])</f>
        <v>274.12945090142568</v>
      </c>
      <c r="F76" s="96">
        <v>342</v>
      </c>
      <c r="G76" s="63">
        <v>713</v>
      </c>
      <c r="H76" s="93">
        <f>UninsLT18to64[[#This Row],[Alternate Adj. Total]]*(UninsLT18to64[[#This Row],[138 to 199% of FPL - Uninsured]]/UninsLT18to64[[#This Row],[Total]])</f>
        <v>327.39413482867087</v>
      </c>
      <c r="I76" s="96">
        <v>415</v>
      </c>
      <c r="J76" s="63">
        <v>1271</v>
      </c>
      <c r="K76" s="93">
        <f>UninsLT18to64[[#This Row],[Alternate Adj. Total]]*(UninsLT18to64[[#This Row],[200 to 399% of FPL - Uninsured]]/UninsLT18to64[[#This Row],[Total]])</f>
        <v>583.61563165110897</v>
      </c>
      <c r="L76" s="96">
        <v>463</v>
      </c>
      <c r="M76" s="63">
        <v>635</v>
      </c>
      <c r="N76" s="93">
        <f>UninsLT18to64[[#This Row],[Alternate Adj. Total]]*(UninsLT18to64[[#This Row],[400% FPL and over - Uninsured]]/UninsLT18to64[[#This Row],[Total]])</f>
        <v>291.57822667069564</v>
      </c>
      <c r="O76" s="96">
        <v>269</v>
      </c>
      <c r="P76" s="64">
        <f>SUM(UninsLT18to64[[#This Row],[Below 138% of FPL - Uninsured]]+UninsLT18to64[[#This Row],[138 to 199% of FPL - Uninsured]]+UninsLT18to64[[#This Row],[200 to 399% of FPL - Uninsured]]+UninsLT18to64[[#This Row],[400% FPL and over - Uninsured]])</f>
        <v>3216</v>
      </c>
      <c r="Q76" s="83">
        <v>2.2642665401238209E-2</v>
      </c>
      <c r="R7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1010.4000000000001</v>
      </c>
      <c r="S76" s="70">
        <f>IF(UninsLT18to64[[#This Row],[Total]]&lt;1000,UninsLT18to64[[#This Row],[Total]],MAX(VLOOKUP(UninsLT18to64[[#This Row],[ZIP Code]],IRSzipToCntyTbl[#All],3,0),(UninsLT18to64[[#This Row],[Total]]-(109811*(VLOOKUP(UninsLT18to64[[#This Row],[ZIP Code]],CitizenshipTbl[#All],4,0))))*0.8))</f>
        <v>1476.7174440519011</v>
      </c>
      <c r="V76" s="71"/>
    </row>
    <row r="77" spans="1:22" x14ac:dyDescent="0.3">
      <c r="A77" s="62">
        <v>20879</v>
      </c>
      <c r="B77" s="63" t="str">
        <f>VLOOKUP(A77,ZipToCntyTbl[#All],2,0)</f>
        <v>Gaithersburg</v>
      </c>
      <c r="C77" s="63" t="str">
        <f>VLOOKUP(A77,ZipToCntyTbl[#All],3,0)</f>
        <v>Montgomery</v>
      </c>
      <c r="D77" s="63">
        <v>433</v>
      </c>
      <c r="E77" s="93">
        <f>UninsLT18to64[[#This Row],[Alternate Adj. Total]]*(UninsLT18to64[[#This Row],[Below 138% of FPL - Uninsured]]/UninsLT18to64[[#This Row],[Total]])</f>
        <v>238.27367944242485</v>
      </c>
      <c r="F77" s="96">
        <v>380</v>
      </c>
      <c r="G77" s="63">
        <v>262</v>
      </c>
      <c r="H77" s="93">
        <f>UninsLT18to64[[#This Row],[Alternate Adj. Total]]*(UninsLT18to64[[#This Row],[138 to 199% of FPL - Uninsured]]/UninsLT18to64[[#This Row],[Total]])</f>
        <v>144.17483605985061</v>
      </c>
      <c r="I77" s="96">
        <v>163</v>
      </c>
      <c r="J77" s="63">
        <v>1116</v>
      </c>
      <c r="K77" s="93">
        <f>UninsLT18to64[[#This Row],[Alternate Adj. Total]]*(UninsLT18to64[[#This Row],[200 to 399% of FPL - Uninsured]]/UninsLT18to64[[#This Row],[Total]])</f>
        <v>614.11876733890563</v>
      </c>
      <c r="L77" s="96">
        <v>464</v>
      </c>
      <c r="M77" s="63">
        <v>650</v>
      </c>
      <c r="N77" s="93">
        <f>UninsLT18to64[[#This Row],[Alternate Adj. Total]]*(UninsLT18to64[[#This Row],[400% FPL and over - Uninsured]]/UninsLT18to64[[#This Row],[Total]])</f>
        <v>357.68566198054543</v>
      </c>
      <c r="O77" s="96">
        <v>355</v>
      </c>
      <c r="P77" s="64">
        <f>SUM(UninsLT18to64[[#This Row],[Below 138% of FPL - Uninsured]]+UninsLT18to64[[#This Row],[138 to 199% of FPL - Uninsured]]+UninsLT18to64[[#This Row],[200 to 399% of FPL - Uninsured]]+UninsLT18to64[[#This Row],[400% FPL and over - Uninsured]])</f>
        <v>2461</v>
      </c>
      <c r="Q77" s="83">
        <v>2.9589114965616451E-2</v>
      </c>
      <c r="R7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1092.8</v>
      </c>
      <c r="S77" s="70">
        <f>IF(UninsLT18to64[[#This Row],[Total]]&lt;1000,UninsLT18to64[[#This Row],[Total]],MAX(VLOOKUP(UninsLT18to64[[#This Row],[ZIP Code]],IRSzipToCntyTbl[#All],3,0),(UninsLT18to64[[#This Row],[Total]]-(109811*(VLOOKUP(UninsLT18to64[[#This Row],[ZIP Code]],CitizenshipTbl[#All],4,0))))*0.8))</f>
        <v>1354.2529448217265</v>
      </c>
      <c r="V77" s="71"/>
    </row>
    <row r="78" spans="1:22" x14ac:dyDescent="0.3">
      <c r="A78" s="62">
        <v>20882</v>
      </c>
      <c r="B78" s="63" t="str">
        <f>VLOOKUP(A78,ZipToCntyTbl[#All],2,0)</f>
        <v>Gaithersburg</v>
      </c>
      <c r="C78" s="63" t="str">
        <f>VLOOKUP(A78,ZipToCntyTbl[#All],3,0)</f>
        <v>Montgomery</v>
      </c>
      <c r="D78" s="63">
        <v>48</v>
      </c>
      <c r="E78" s="93">
        <f>UninsLT18to64[[#This Row],[Alternate Adj. Total]]*(UninsLT18to64[[#This Row],[Below 138% of FPL - Uninsured]]/UninsLT18to64[[#This Row],[Total]])</f>
        <v>48</v>
      </c>
      <c r="F78" s="96">
        <v>88</v>
      </c>
      <c r="G78" s="63">
        <v>78</v>
      </c>
      <c r="H78" s="93">
        <f>UninsLT18to64[[#This Row],[Alternate Adj. Total]]*(UninsLT18to64[[#This Row],[138 to 199% of FPL - Uninsured]]/UninsLT18to64[[#This Row],[Total]])</f>
        <v>78</v>
      </c>
      <c r="I78" s="96">
        <v>87</v>
      </c>
      <c r="J78" s="63">
        <v>153</v>
      </c>
      <c r="K78" s="93">
        <f>UninsLT18to64[[#This Row],[Alternate Adj. Total]]*(UninsLT18to64[[#This Row],[200 to 399% of FPL - Uninsured]]/UninsLT18to64[[#This Row],[Total]])</f>
        <v>153</v>
      </c>
      <c r="L78" s="96">
        <v>117</v>
      </c>
      <c r="M78" s="63">
        <v>123</v>
      </c>
      <c r="N78" s="93">
        <f>UninsLT18to64[[#This Row],[Alternate Adj. Total]]*(UninsLT18to64[[#This Row],[400% FPL and over - Uninsured]]/UninsLT18to64[[#This Row],[Total]])</f>
        <v>123</v>
      </c>
      <c r="O78" s="96">
        <v>93</v>
      </c>
      <c r="P78" s="64">
        <f>SUM(UninsLT18to64[[#This Row],[Below 138% of FPL - Uninsured]]+UninsLT18to64[[#This Row],[138 to 199% of FPL - Uninsured]]+UninsLT18to64[[#This Row],[200 to 399% of FPL - Uninsured]]+UninsLT18to64[[#This Row],[400% FPL and over - Uninsured]])</f>
        <v>402</v>
      </c>
      <c r="Q78" s="83">
        <v>0.18114132320990567</v>
      </c>
      <c r="R7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402</v>
      </c>
      <c r="S78" s="70">
        <f>IF(UninsLT18to64[[#This Row],[Total]]&lt;1000,UninsLT18to64[[#This Row],[Total]],MAX(VLOOKUP(UninsLT18to64[[#This Row],[ZIP Code]],IRSzipToCntyTbl[#All],3,0),(UninsLT18to64[[#This Row],[Total]]-(109811*(VLOOKUP(UninsLT18to64[[#This Row],[ZIP Code]],CitizenshipTbl[#All],4,0))))*0.8))</f>
        <v>402</v>
      </c>
      <c r="V78" s="71"/>
    </row>
    <row r="79" spans="1:22" x14ac:dyDescent="0.3">
      <c r="A79" s="62">
        <v>20886</v>
      </c>
      <c r="B79" s="63" t="str">
        <f>VLOOKUP(A79,ZipToCntyTbl[#All],2,0)</f>
        <v>Montgomery Village</v>
      </c>
      <c r="C79" s="63" t="str">
        <f>VLOOKUP(A79,ZipToCntyTbl[#All],3,0)</f>
        <v>Montgomery</v>
      </c>
      <c r="D79" s="63">
        <v>977</v>
      </c>
      <c r="E79" s="93">
        <f>UninsLT18to64[[#This Row],[Alternate Adj. Total]]*(UninsLT18to64[[#This Row],[Below 138% of FPL - Uninsured]]/UninsLT18to64[[#This Row],[Total]])</f>
        <v>457.3724852345</v>
      </c>
      <c r="F79" s="96">
        <v>500</v>
      </c>
      <c r="G79" s="63">
        <v>720</v>
      </c>
      <c r="H79" s="93">
        <f>UninsLT18to64[[#This Row],[Alternate Adj. Total]]*(UninsLT18to64[[#This Row],[138 to 199% of FPL - Uninsured]]/UninsLT18to64[[#This Row],[Total]])</f>
        <v>337.06058277261008</v>
      </c>
      <c r="I79" s="96">
        <v>329</v>
      </c>
      <c r="J79" s="63">
        <v>1589</v>
      </c>
      <c r="K79" s="93">
        <f>UninsLT18to64[[#This Row],[Alternate Adj. Total]]*(UninsLT18to64[[#This Row],[200 to 399% of FPL - Uninsured]]/UninsLT18to64[[#This Row],[Total]])</f>
        <v>743.87398059121858</v>
      </c>
      <c r="L79" s="96">
        <v>441</v>
      </c>
      <c r="M79" s="63">
        <v>695</v>
      </c>
      <c r="N79" s="93">
        <f>UninsLT18to64[[#This Row],[Alternate Adj. Total]]*(UninsLT18to64[[#This Row],[400% FPL and over - Uninsured]]/UninsLT18to64[[#This Row],[Total]])</f>
        <v>325.35709031522777</v>
      </c>
      <c r="O79" s="96">
        <v>242</v>
      </c>
      <c r="P79" s="64">
        <f>SUM(UninsLT18to64[[#This Row],[Below 138% of FPL - Uninsured]]+UninsLT18to64[[#This Row],[138 to 199% of FPL - Uninsured]]+UninsLT18to64[[#This Row],[200 to 399% of FPL - Uninsured]]+UninsLT18to64[[#This Row],[400% FPL and over - Uninsured]])</f>
        <v>3981</v>
      </c>
      <c r="Q79" s="83">
        <v>1.8291588025717679E-2</v>
      </c>
      <c r="R7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1301.6000000000001</v>
      </c>
      <c r="S79" s="70">
        <f>IF(UninsLT18to64[[#This Row],[Total]]&lt;1000,UninsLT18to64[[#This Row],[Total]],MAX(VLOOKUP(UninsLT18to64[[#This Row],[ZIP Code]],IRSzipToCntyTbl[#All],3,0),(UninsLT18to64[[#This Row],[Total]]-(109811*(VLOOKUP(UninsLT18to64[[#This Row],[ZIP Code]],CitizenshipTbl[#All],4,0))))*0.8))</f>
        <v>1863.6641389135564</v>
      </c>
      <c r="V79" s="71"/>
    </row>
    <row r="80" spans="1:22" x14ac:dyDescent="0.3">
      <c r="A80" s="62">
        <v>20895</v>
      </c>
      <c r="B80" s="63" t="str">
        <f>VLOOKUP(A80,ZipToCntyTbl[#All],2,0)</f>
        <v>Kensington</v>
      </c>
      <c r="C80" s="63" t="str">
        <f>VLOOKUP(A80,ZipToCntyTbl[#All],3,0)</f>
        <v>Montgomery</v>
      </c>
      <c r="D80" s="63">
        <v>106</v>
      </c>
      <c r="E80" s="93">
        <f>UninsLT18to64[[#This Row],[Alternate Adj. Total]]*(UninsLT18to64[[#This Row],[Below 138% of FPL - Uninsured]]/UninsLT18to64[[#This Row],[Total]])</f>
        <v>105.99999999999999</v>
      </c>
      <c r="F80" s="96">
        <v>120</v>
      </c>
      <c r="G80" s="63">
        <v>320</v>
      </c>
      <c r="H80" s="93">
        <f>UninsLT18to64[[#This Row],[Alternate Adj. Total]]*(UninsLT18to64[[#This Row],[138 to 199% of FPL - Uninsured]]/UninsLT18to64[[#This Row],[Total]])</f>
        <v>320</v>
      </c>
      <c r="I80" s="96">
        <v>312</v>
      </c>
      <c r="J80" s="63">
        <v>149</v>
      </c>
      <c r="K80" s="93">
        <f>UninsLT18to64[[#This Row],[Alternate Adj. Total]]*(UninsLT18to64[[#This Row],[200 to 399% of FPL - Uninsured]]/UninsLT18to64[[#This Row],[Total]])</f>
        <v>149</v>
      </c>
      <c r="L80" s="96">
        <v>110</v>
      </c>
      <c r="M80" s="63">
        <v>232</v>
      </c>
      <c r="N80" s="93">
        <f>UninsLT18to64[[#This Row],[Alternate Adj. Total]]*(UninsLT18to64[[#This Row],[400% FPL and over - Uninsured]]/UninsLT18to64[[#This Row],[Total]])</f>
        <v>232.00000000000003</v>
      </c>
      <c r="O80" s="96">
        <v>145</v>
      </c>
      <c r="P80" s="64">
        <f>SUM(UninsLT18to64[[#This Row],[Below 138% of FPL - Uninsured]]+UninsLT18to64[[#This Row],[138 to 199% of FPL - Uninsured]]+UninsLT18to64[[#This Row],[200 to 399% of FPL - Uninsured]]+UninsLT18to64[[#This Row],[400% FPL and over - Uninsured]])</f>
        <v>807</v>
      </c>
      <c r="Q80" s="83">
        <v>9.0233967695640752E-2</v>
      </c>
      <c r="R8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807</v>
      </c>
      <c r="S80" s="70">
        <f>IF(UninsLT18to64[[#This Row],[Total]]&lt;1000,UninsLT18to64[[#This Row],[Total]],MAX(VLOOKUP(UninsLT18to64[[#This Row],[ZIP Code]],IRSzipToCntyTbl[#All],3,0),(UninsLT18to64[[#This Row],[Total]]-(109811*(VLOOKUP(UninsLT18to64[[#This Row],[ZIP Code]],CitizenshipTbl[#All],4,0))))*0.8))</f>
        <v>807</v>
      </c>
      <c r="V80" s="71"/>
    </row>
    <row r="81" spans="1:22" x14ac:dyDescent="0.3">
      <c r="A81" s="62">
        <v>20901</v>
      </c>
      <c r="B81" s="63" t="str">
        <f>VLOOKUP(A81,ZipToCntyTbl[#All],2,0)</f>
        <v>Silver Spring</v>
      </c>
      <c r="C81" s="63" t="str">
        <f>VLOOKUP(A81,ZipToCntyTbl[#All],3,0)</f>
        <v>Montgomery</v>
      </c>
      <c r="D81" s="63">
        <v>1067</v>
      </c>
      <c r="E81" s="93">
        <f>UninsLT18to64[[#This Row],[Alternate Adj. Total]]*(UninsLT18to64[[#This Row],[Below 138% of FPL - Uninsured]]/UninsLT18to64[[#This Row],[Total]])</f>
        <v>518.31574981700919</v>
      </c>
      <c r="F81" s="96">
        <v>544</v>
      </c>
      <c r="G81" s="63">
        <v>844</v>
      </c>
      <c r="H81" s="93">
        <f>UninsLT18to64[[#This Row],[Alternate Adj. Total]]*(UninsLT18to64[[#This Row],[138 to 199% of FPL - Uninsured]]/UninsLT18to64[[#This Row],[Total]])</f>
        <v>409.98921541289195</v>
      </c>
      <c r="I81" s="96">
        <v>336</v>
      </c>
      <c r="J81" s="63">
        <v>1800</v>
      </c>
      <c r="K81" s="93">
        <f>UninsLT18to64[[#This Row],[Alternate Adj. Total]]*(UninsLT18to64[[#This Row],[200 to 399% of FPL - Uninsured]]/UninsLT18to64[[#This Row],[Total]])</f>
        <v>874.38458263412974</v>
      </c>
      <c r="L81" s="96">
        <v>711</v>
      </c>
      <c r="M81" s="63">
        <v>538</v>
      </c>
      <c r="N81" s="93">
        <f>UninsLT18to64[[#This Row],[Alternate Adj. Total]]*(UninsLT18to64[[#This Row],[400% FPL and over - Uninsured]]/UninsLT18to64[[#This Row],[Total]])</f>
        <v>261.34383636508989</v>
      </c>
      <c r="O81" s="96">
        <v>254</v>
      </c>
      <c r="P81" s="64">
        <f>SUM(UninsLT18to64[[#This Row],[Below 138% of FPL - Uninsured]]+UninsLT18to64[[#This Row],[138 to 199% of FPL - Uninsured]]+UninsLT18to64[[#This Row],[200 to 399% of FPL - Uninsured]]+UninsLT18to64[[#This Row],[400% FPL and over - Uninsured]])</f>
        <v>4249</v>
      </c>
      <c r="Q81" s="83">
        <v>1.7137870541393759E-2</v>
      </c>
      <c r="R8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1496</v>
      </c>
      <c r="S81" s="70">
        <f>IF(UninsLT18to64[[#This Row],[Total]]&lt;1000,UninsLT18to64[[#This Row],[Total]],MAX(VLOOKUP(UninsLT18to64[[#This Row],[ZIP Code]],IRSzipToCntyTbl[#All],3,0),(UninsLT18to64[[#This Row],[Total]]-(109811*(VLOOKUP(UninsLT18to64[[#This Row],[ZIP Code]],CitizenshipTbl[#All],4,0))))*0.8))</f>
        <v>2064.0333842291207</v>
      </c>
      <c r="V81" s="71"/>
    </row>
    <row r="82" spans="1:22" x14ac:dyDescent="0.3">
      <c r="A82" s="62">
        <v>20902</v>
      </c>
      <c r="B82" s="63" t="str">
        <f>VLOOKUP(A82,ZipToCntyTbl[#All],2,0)</f>
        <v>Silver Spring</v>
      </c>
      <c r="C82" s="63" t="str">
        <f>VLOOKUP(A82,ZipToCntyTbl[#All],3,0)</f>
        <v>Montgomery</v>
      </c>
      <c r="D82" s="63">
        <v>2167</v>
      </c>
      <c r="E82" s="93">
        <f>UninsLT18to64[[#This Row],[Alternate Adj. Total]]*(UninsLT18to64[[#This Row],[Below 138% of FPL - Uninsured]]/UninsLT18to64[[#This Row],[Total]])</f>
        <v>946.04960054865512</v>
      </c>
      <c r="F82" s="96">
        <v>852</v>
      </c>
      <c r="G82" s="63">
        <v>1562</v>
      </c>
      <c r="H82" s="93">
        <f>UninsLT18to64[[#This Row],[Alternate Adj. Total]]*(UninsLT18to64[[#This Row],[138 to 199% of FPL - Uninsured]]/UninsLT18to64[[#This Row],[Total]])</f>
        <v>681.92407755283762</v>
      </c>
      <c r="I82" s="96">
        <v>568</v>
      </c>
      <c r="J82" s="63">
        <v>3213</v>
      </c>
      <c r="K82" s="93">
        <f>UninsLT18to64[[#This Row],[Alternate Adj. Total]]*(UninsLT18to64[[#This Row],[200 to 399% of FPL - Uninsured]]/UninsLT18to64[[#This Row],[Total]])</f>
        <v>1402.7029841083659</v>
      </c>
      <c r="L82" s="96">
        <v>872</v>
      </c>
      <c r="M82" s="63">
        <v>1431</v>
      </c>
      <c r="N82" s="93">
        <f>UninsLT18to64[[#This Row],[Alternate Adj. Total]]*(UninsLT18to64[[#This Row],[400% FPL and over - Uninsured]]/UninsLT18to64[[#This Row],[Total]])</f>
        <v>624.73326182977632</v>
      </c>
      <c r="O82" s="96">
        <v>588</v>
      </c>
      <c r="P82" s="64">
        <f>SUM(UninsLT18to64[[#This Row],[Below 138% of FPL - Uninsured]]+UninsLT18to64[[#This Row],[138 to 199% of FPL - Uninsured]]+UninsLT18to64[[#This Row],[200 to 399% of FPL - Uninsured]]+UninsLT18to64[[#This Row],[400% FPL and over - Uninsured]])</f>
        <v>8373</v>
      </c>
      <c r="Q82" s="83">
        <v>8.6968603762548769E-3</v>
      </c>
      <c r="R8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2360.8000000000002</v>
      </c>
      <c r="S82" s="70">
        <f>IF(UninsLT18to64[[#This Row],[Total]]&lt;1000,UninsLT18to64[[#This Row],[Total]],MAX(VLOOKUP(UninsLT18to64[[#This Row],[ZIP Code]],IRSzipToCntyTbl[#All],3,0),(UninsLT18to64[[#This Row],[Total]]-(109811*(VLOOKUP(UninsLT18to64[[#This Row],[ZIP Code]],CitizenshipTbl[#All],4,0))))*0.8))</f>
        <v>3655.4099240396349</v>
      </c>
      <c r="V82" s="71"/>
    </row>
    <row r="83" spans="1:22" x14ac:dyDescent="0.3">
      <c r="A83" s="62">
        <v>20903</v>
      </c>
      <c r="B83" s="63" t="str">
        <f>VLOOKUP(A83,ZipToCntyTbl[#All],2,0)</f>
        <v>Silver Spring</v>
      </c>
      <c r="C83" s="63" t="str">
        <f>VLOOKUP(A83,ZipToCntyTbl[#All],3,0)</f>
        <v>Montgomery</v>
      </c>
      <c r="D83" s="63">
        <v>1966</v>
      </c>
      <c r="E83" s="93">
        <f>UninsLT18to64[[#This Row],[Alternate Adj. Total]]*(UninsLT18to64[[#This Row],[Below 138% of FPL - Uninsured]]/UninsLT18to64[[#This Row],[Total]])</f>
        <v>642.81929051034729</v>
      </c>
      <c r="F83" s="96">
        <v>666</v>
      </c>
      <c r="G83" s="63">
        <v>1548</v>
      </c>
      <c r="H83" s="93">
        <f>UninsLT18to64[[#This Row],[Alternate Adj. Total]]*(UninsLT18to64[[#This Row],[138 to 199% of FPL - Uninsured]]/UninsLT18to64[[#This Row],[Total]])</f>
        <v>506.1466234537221</v>
      </c>
      <c r="I83" s="96">
        <v>491</v>
      </c>
      <c r="J83" s="63">
        <v>2295</v>
      </c>
      <c r="K83" s="93">
        <f>UninsLT18to64[[#This Row],[Alternate Adj. Total]]*(UninsLT18to64[[#This Row],[200 to 399% of FPL - Uninsured]]/UninsLT18to64[[#This Row],[Total]])</f>
        <v>750.39179639941347</v>
      </c>
      <c r="L83" s="96">
        <v>605</v>
      </c>
      <c r="M83" s="63">
        <v>637</v>
      </c>
      <c r="N83" s="93">
        <f>UninsLT18to64[[#This Row],[Alternate Adj. Total]]*(UninsLT18to64[[#This Row],[400% FPL and over - Uninsured]]/UninsLT18to64[[#This Row],[Total]])</f>
        <v>208.27868161500061</v>
      </c>
      <c r="O83" s="96">
        <v>285</v>
      </c>
      <c r="P83" s="64">
        <f>SUM(UninsLT18to64[[#This Row],[Below 138% of FPL - Uninsured]]+UninsLT18to64[[#This Row],[138 to 199% of FPL - Uninsured]]+UninsLT18to64[[#This Row],[200 to 399% of FPL - Uninsured]]+UninsLT18to64[[#This Row],[400% FPL and over - Uninsured]])</f>
        <v>6446</v>
      </c>
      <c r="Q83" s="83">
        <v>1.1296744016503581E-2</v>
      </c>
      <c r="R8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810.40000000000009</v>
      </c>
      <c r="S83" s="70">
        <f>IF(UninsLT18to64[[#This Row],[Total]]&lt;1000,UninsLT18to64[[#This Row],[Total]],MAX(VLOOKUP(UninsLT18to64[[#This Row],[ZIP Code]],IRSzipToCntyTbl[#All],3,0),(UninsLT18to64[[#This Row],[Total]]-(109811*(VLOOKUP(UninsLT18to64[[#This Row],[ZIP Code]],CitizenshipTbl[#All],4,0))))*0.8))</f>
        <v>2107.6363919784835</v>
      </c>
      <c r="V83" s="71"/>
    </row>
    <row r="84" spans="1:22" x14ac:dyDescent="0.3">
      <c r="A84" s="62">
        <v>20904</v>
      </c>
      <c r="B84" s="63" t="str">
        <f>VLOOKUP(A84,ZipToCntyTbl[#All],2,0)</f>
        <v>Silver Spring</v>
      </c>
      <c r="C84" s="63" t="str">
        <f>VLOOKUP(A84,ZipToCntyTbl[#All],3,0)</f>
        <v>Montgomery</v>
      </c>
      <c r="D84" s="63">
        <v>1690</v>
      </c>
      <c r="E84" s="93">
        <f>UninsLT18to64[[#This Row],[Alternate Adj. Total]]*(UninsLT18to64[[#This Row],[Below 138% of FPL - Uninsured]]/UninsLT18to64[[#This Row],[Total]])</f>
        <v>914.98531667170585</v>
      </c>
      <c r="F84" s="96">
        <v>766</v>
      </c>
      <c r="G84" s="63">
        <v>1270</v>
      </c>
      <c r="H84" s="93">
        <f>UninsLT18to64[[#This Row],[Alternate Adj. Total]]*(UninsLT18to64[[#This Row],[138 to 199% of FPL - Uninsured]]/UninsLT18to64[[#This Row],[Total]])</f>
        <v>687.5925160787375</v>
      </c>
      <c r="I84" s="96">
        <v>476</v>
      </c>
      <c r="J84" s="63">
        <v>1962</v>
      </c>
      <c r="K84" s="93">
        <f>UninsLT18to64[[#This Row],[Alternate Adj. Total]]*(UninsLT18to64[[#This Row],[200 to 399% of FPL - Uninsured]]/UninsLT18to64[[#This Row],[Total]])</f>
        <v>1062.2492256271519</v>
      </c>
      <c r="L84" s="96">
        <v>587</v>
      </c>
      <c r="M84" s="63">
        <v>1053</v>
      </c>
      <c r="N84" s="93">
        <f>UninsLT18to64[[#This Row],[Alternate Adj. Total]]*(UninsLT18to64[[#This Row],[400% FPL and over - Uninsured]]/UninsLT18to64[[#This Row],[Total]])</f>
        <v>570.1062357723705</v>
      </c>
      <c r="O84" s="96">
        <v>339</v>
      </c>
      <c r="P84" s="64">
        <f>SUM(UninsLT18to64[[#This Row],[Below 138% of FPL - Uninsured]]+UninsLT18to64[[#This Row],[138 to 199% of FPL - Uninsured]]+UninsLT18to64[[#This Row],[200 to 399% of FPL - Uninsured]]+UninsLT18to64[[#This Row],[400% FPL and over - Uninsured]])</f>
        <v>5975</v>
      </c>
      <c r="Q84" s="83">
        <v>1.2187248858641352E-2</v>
      </c>
      <c r="R8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2577.6000000000004</v>
      </c>
      <c r="S84" s="70">
        <f>IF(UninsLT18to64[[#This Row],[Total]]&lt;1000,UninsLT18to64[[#This Row],[Total]],MAX(VLOOKUP(UninsLT18to64[[#This Row],[ZIP Code]],IRSzipToCntyTbl[#All],3,0),(UninsLT18to64[[#This Row],[Total]]-(109811*(VLOOKUP(UninsLT18to64[[#This Row],[ZIP Code]],CitizenshipTbl[#All],4,0))))*0.8))</f>
        <v>3234.9332941499661</v>
      </c>
      <c r="V84" s="71"/>
    </row>
    <row r="85" spans="1:22" x14ac:dyDescent="0.3">
      <c r="A85" s="62">
        <v>20905</v>
      </c>
      <c r="B85" s="63" t="str">
        <f>VLOOKUP(A85,ZipToCntyTbl[#All],2,0)</f>
        <v>Silver Spring</v>
      </c>
      <c r="C85" s="63" t="str">
        <f>VLOOKUP(A85,ZipToCntyTbl[#All],3,0)</f>
        <v>Montgomery</v>
      </c>
      <c r="D85" s="63">
        <v>458</v>
      </c>
      <c r="E85" s="93">
        <f>UninsLT18to64[[#This Row],[Alternate Adj. Total]]*(UninsLT18to64[[#This Row],[Below 138% of FPL - Uninsured]]/UninsLT18to64[[#This Row],[Total]])</f>
        <v>246.10367671677454</v>
      </c>
      <c r="F85" s="96">
        <v>514</v>
      </c>
      <c r="G85" s="63">
        <v>294</v>
      </c>
      <c r="H85" s="93">
        <f>UninsLT18to64[[#This Row],[Alternate Adj. Total]]*(UninsLT18to64[[#This Row],[138 to 199% of FPL - Uninsured]]/UninsLT18to64[[#This Row],[Total]])</f>
        <v>157.97921605836618</v>
      </c>
      <c r="I85" s="96">
        <v>232</v>
      </c>
      <c r="J85" s="63">
        <v>113</v>
      </c>
      <c r="K85" s="93">
        <f>UninsLT18to64[[#This Row],[Alternate Adj. Total]]*(UninsLT18to64[[#This Row],[200 to 399% of FPL - Uninsured]]/UninsLT18to64[[#This Row],[Total]])</f>
        <v>60.719902770732581</v>
      </c>
      <c r="L85" s="96">
        <v>104</v>
      </c>
      <c r="M85" s="63">
        <v>385</v>
      </c>
      <c r="N85" s="93">
        <f>UninsLT18to64[[#This Row],[Alternate Adj. Total]]*(UninsLT18to64[[#This Row],[400% FPL and over - Uninsured]]/UninsLT18to64[[#This Row],[Total]])</f>
        <v>206.87754483833669</v>
      </c>
      <c r="O85" s="96">
        <v>208</v>
      </c>
      <c r="P85" s="64">
        <f>SUM(UninsLT18to64[[#This Row],[Below 138% of FPL - Uninsured]]+UninsLT18to64[[#This Row],[138 to 199% of FPL - Uninsured]]+UninsLT18to64[[#This Row],[200 to 399% of FPL - Uninsured]]+UninsLT18to64[[#This Row],[400% FPL and over - Uninsured]])</f>
        <v>1250</v>
      </c>
      <c r="Q85" s="83">
        <v>5.8255049544305666E-2</v>
      </c>
      <c r="R8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532</v>
      </c>
      <c r="S85" s="70">
        <f>IF(UninsLT18to64[[#This Row],[Total]]&lt;1000,UninsLT18to64[[#This Row],[Total]],MAX(VLOOKUP(UninsLT18to64[[#This Row],[ZIP Code]],IRSzipToCntyTbl[#All],3,0),(UninsLT18to64[[#This Row],[Total]]-(109811*(VLOOKUP(UninsLT18to64[[#This Row],[ZIP Code]],CitizenshipTbl[#All],4,0))))*0.8))</f>
        <v>671.68034038421001</v>
      </c>
      <c r="V85" s="71"/>
    </row>
    <row r="86" spans="1:22" x14ac:dyDescent="0.3">
      <c r="A86" s="62">
        <v>20906</v>
      </c>
      <c r="B86" s="63" t="str">
        <f>VLOOKUP(A86,ZipToCntyTbl[#All],2,0)</f>
        <v>Silver Spring</v>
      </c>
      <c r="C86" s="63" t="str">
        <f>VLOOKUP(A86,ZipToCntyTbl[#All],3,0)</f>
        <v>Montgomery</v>
      </c>
      <c r="D86" s="63">
        <v>2845</v>
      </c>
      <c r="E86" s="93">
        <f>UninsLT18to64[[#This Row],[Alternate Adj. Total]]*(UninsLT18to64[[#This Row],[Below 138% of FPL - Uninsured]]/UninsLT18to64[[#This Row],[Total]])</f>
        <v>1238.9265363076815</v>
      </c>
      <c r="F86" s="96">
        <v>1146</v>
      </c>
      <c r="G86" s="63">
        <v>1550</v>
      </c>
      <c r="H86" s="93">
        <f>UninsLT18to64[[#This Row],[Alternate Adj. Total]]*(UninsLT18to64[[#This Row],[138 to 199% of FPL - Uninsured]]/UninsLT18to64[[#This Row],[Total]])</f>
        <v>674.98633788291966</v>
      </c>
      <c r="I86" s="96">
        <v>557</v>
      </c>
      <c r="J86" s="63">
        <v>3339</v>
      </c>
      <c r="K86" s="93">
        <f>UninsLT18to64[[#This Row],[Alternate Adj. Total]]*(UninsLT18to64[[#This Row],[200 to 399% of FPL - Uninsured]]/UninsLT18to64[[#This Row],[Total]])</f>
        <v>1454.0512143168187</v>
      </c>
      <c r="L86" s="96">
        <v>755</v>
      </c>
      <c r="M86" s="63">
        <v>1767</v>
      </c>
      <c r="N86" s="93">
        <f>UninsLT18to64[[#This Row],[Alternate Adj. Total]]*(UninsLT18to64[[#This Row],[400% FPL and over - Uninsured]]/UninsLT18to64[[#This Row],[Total]])</f>
        <v>769.48442518652848</v>
      </c>
      <c r="O86" s="96">
        <v>434</v>
      </c>
      <c r="P86" s="64">
        <f>SUM(UninsLT18to64[[#This Row],[Below 138% of FPL - Uninsured]]+UninsLT18to64[[#This Row],[138 to 199% of FPL - Uninsured]]+UninsLT18to64[[#This Row],[200 to 399% of FPL - Uninsured]]+UninsLT18to64[[#This Row],[400% FPL and over - Uninsured]])</f>
        <v>9501</v>
      </c>
      <c r="Q86" s="83">
        <v>7.6643313262164071E-3</v>
      </c>
      <c r="R8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2664</v>
      </c>
      <c r="S86" s="70">
        <f>IF(UninsLT18to64[[#This Row],[Total]]&lt;1000,UninsLT18to64[[#This Row],[Total]],MAX(VLOOKUP(UninsLT18to64[[#This Row],[ZIP Code]],IRSzipToCntyTbl[#All],3,0),(UninsLT18to64[[#This Row],[Total]]-(109811*(VLOOKUP(UninsLT18to64[[#This Row],[ZIP Code]],CitizenshipTbl[#All],4,0))))*0.8))</f>
        <v>4137.4485136939484</v>
      </c>
      <c r="V86" s="71"/>
    </row>
    <row r="87" spans="1:22" x14ac:dyDescent="0.3">
      <c r="A87" s="62">
        <v>20910</v>
      </c>
      <c r="B87" s="63" t="str">
        <f>VLOOKUP(A87,ZipToCntyTbl[#All],2,0)</f>
        <v>Silver Spring</v>
      </c>
      <c r="C87" s="63" t="str">
        <f>VLOOKUP(A87,ZipToCntyTbl[#All],3,0)</f>
        <v>Montgomery</v>
      </c>
      <c r="D87" s="63">
        <v>755</v>
      </c>
      <c r="E87" s="93">
        <f>UninsLT18to64[[#This Row],[Alternate Adj. Total]]*(UninsLT18to64[[#This Row],[Below 138% of FPL - Uninsured]]/UninsLT18to64[[#This Row],[Total]])</f>
        <v>401.75419675921967</v>
      </c>
      <c r="F87" s="96">
        <v>444</v>
      </c>
      <c r="G87" s="63">
        <v>168</v>
      </c>
      <c r="H87" s="93">
        <f>UninsLT18to64[[#This Row],[Alternate Adj. Total]]*(UninsLT18to64[[#This Row],[138 to 199% of FPL - Uninsured]]/UninsLT18to64[[#This Row],[Total]])</f>
        <v>89.396960338475381</v>
      </c>
      <c r="I87" s="96">
        <v>127</v>
      </c>
      <c r="J87" s="63">
        <v>651</v>
      </c>
      <c r="K87" s="93">
        <f>UninsLT18to64[[#This Row],[Alternate Adj. Total]]*(UninsLT18to64[[#This Row],[200 to 399% of FPL - Uninsured]]/UninsLT18to64[[#This Row],[Total]])</f>
        <v>346.41322131159211</v>
      </c>
      <c r="L87" s="96">
        <v>344</v>
      </c>
      <c r="M87" s="63">
        <v>915</v>
      </c>
      <c r="N87" s="93">
        <f>UninsLT18to64[[#This Row],[Alternate Adj. Total]]*(UninsLT18to64[[#This Row],[400% FPL and over - Uninsured]]/UninsLT18to64[[#This Row],[Total]])</f>
        <v>486.89415898633911</v>
      </c>
      <c r="O87" s="96">
        <v>410</v>
      </c>
      <c r="P87" s="64">
        <f>SUM(UninsLT18to64[[#This Row],[Below 138% of FPL - Uninsured]]+UninsLT18to64[[#This Row],[138 to 199% of FPL - Uninsured]]+UninsLT18to64[[#This Row],[200 to 399% of FPL - Uninsured]]+UninsLT18to64[[#This Row],[400% FPL and over - Uninsured]])</f>
        <v>2489</v>
      </c>
      <c r="Q87" s="83">
        <v>2.925625228219449E-2</v>
      </c>
      <c r="R8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1040.8</v>
      </c>
      <c r="S87" s="70">
        <f>IF(UninsLT18to64[[#This Row],[Total]]&lt;1000,UninsLT18to64[[#This Row],[Total]],MAX(VLOOKUP(UninsLT18to64[[#This Row],[ZIP Code]],IRSzipToCntyTbl[#All],3,0),(UninsLT18to64[[#This Row],[Total]]-(109811*(VLOOKUP(UninsLT18to64[[#This Row],[ZIP Code]],CitizenshipTbl[#All],4,0))))*0.8))</f>
        <v>1324.4585373956263</v>
      </c>
      <c r="V87" s="71"/>
    </row>
    <row r="88" spans="1:22" x14ac:dyDescent="0.3">
      <c r="A88" s="62">
        <v>20912</v>
      </c>
      <c r="B88" s="63" t="str">
        <f>VLOOKUP(A88,ZipToCntyTbl[#All],2,0)</f>
        <v>Takoma Park</v>
      </c>
      <c r="C88" s="63" t="str">
        <f>VLOOKUP(A88,ZipToCntyTbl[#All],3,0)</f>
        <v>Montgomery</v>
      </c>
      <c r="D88" s="63">
        <v>1035</v>
      </c>
      <c r="E88" s="93">
        <f>UninsLT18to64[[#This Row],[Alternate Adj. Total]]*(UninsLT18to64[[#This Row],[Below 138% of FPL - Uninsured]]/UninsLT18to64[[#This Row],[Total]])</f>
        <v>430.41046627621284</v>
      </c>
      <c r="F88" s="96">
        <v>460</v>
      </c>
      <c r="G88" s="63">
        <v>823</v>
      </c>
      <c r="H88" s="93">
        <f>UninsLT18to64[[#This Row],[Alternate Adj. Total]]*(UninsLT18to64[[#This Row],[138 to 199% of FPL - Uninsured]]/UninsLT18to64[[#This Row],[Total]])</f>
        <v>342.24909540610935</v>
      </c>
      <c r="I88" s="96">
        <v>344</v>
      </c>
      <c r="J88" s="63">
        <v>1174</v>
      </c>
      <c r="K88" s="93">
        <f>UninsLT18to64[[#This Row],[Alternate Adj. Total]]*(UninsLT18to64[[#This Row],[200 to 399% of FPL - Uninsured]]/UninsLT18to64[[#This Row],[Total]])</f>
        <v>488.21438396934678</v>
      </c>
      <c r="L88" s="96">
        <v>362</v>
      </c>
      <c r="M88" s="63">
        <v>638</v>
      </c>
      <c r="N88" s="93">
        <f>UninsLT18to64[[#This Row],[Alternate Adj. Total]]*(UninsLT18to64[[#This Row],[400% FPL and over - Uninsured]]/UninsLT18to64[[#This Row],[Total]])</f>
        <v>265.31582365625491</v>
      </c>
      <c r="O88" s="96">
        <v>293</v>
      </c>
      <c r="P88" s="64">
        <f>SUM(UninsLT18to64[[#This Row],[Below 138% of FPL - Uninsured]]+UninsLT18to64[[#This Row],[138 to 199% of FPL - Uninsured]]+UninsLT18to64[[#This Row],[200 to 399% of FPL - Uninsured]]+UninsLT18to64[[#This Row],[400% FPL and over - Uninsured]])</f>
        <v>3670</v>
      </c>
      <c r="Q88" s="83">
        <v>1.9841638128169505E-2</v>
      </c>
      <c r="R8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926.40000000000009</v>
      </c>
      <c r="S88" s="70">
        <f>IF(UninsLT18to64[[#This Row],[Total]]&lt;1000,UninsLT18to64[[#This Row],[Total]],MAX(VLOOKUP(UninsLT18to64[[#This Row],[ZIP Code]],IRSzipToCntyTbl[#All],3,0),(UninsLT18to64[[#This Row],[Total]]-(109811*(VLOOKUP(UninsLT18to64[[#This Row],[ZIP Code]],CitizenshipTbl[#All],4,0))))*0.8))</f>
        <v>1526.1897693079238</v>
      </c>
      <c r="V88" s="71"/>
    </row>
    <row r="89" spans="1:22" x14ac:dyDescent="0.3">
      <c r="A89" s="62">
        <v>21001</v>
      </c>
      <c r="B89" s="63" t="str">
        <f>VLOOKUP(A89,ZipToCntyTbl[#All],2,0)</f>
        <v>Aberdeen</v>
      </c>
      <c r="C89" s="63" t="str">
        <f>VLOOKUP(A89,ZipToCntyTbl[#All],3,0)</f>
        <v>Harford</v>
      </c>
      <c r="D89" s="63">
        <v>436</v>
      </c>
      <c r="E89" s="93">
        <f>UninsLT18to64[[#This Row],[Alternate Adj. Total]]*(UninsLT18to64[[#This Row],[Below 138% of FPL - Uninsured]]/UninsLT18to64[[#This Row],[Total]])</f>
        <v>312.58629225237712</v>
      </c>
      <c r="F89" s="96">
        <v>236</v>
      </c>
      <c r="G89" s="63">
        <v>300</v>
      </c>
      <c r="H89" s="93">
        <f>UninsLT18to64[[#This Row],[Alternate Adj. Total]]*(UninsLT18to64[[#This Row],[138 to 199% of FPL - Uninsured]]/UninsLT18to64[[#This Row],[Total]])</f>
        <v>215.08231118282831</v>
      </c>
      <c r="I89" s="96">
        <v>218</v>
      </c>
      <c r="J89" s="63">
        <v>503</v>
      </c>
      <c r="K89" s="93">
        <f>UninsLT18to64[[#This Row],[Alternate Adj. Total]]*(UninsLT18to64[[#This Row],[200 to 399% of FPL - Uninsured]]/UninsLT18to64[[#This Row],[Total]])</f>
        <v>360.6213417498754</v>
      </c>
      <c r="L89" s="96">
        <v>292</v>
      </c>
      <c r="M89" s="63">
        <v>207</v>
      </c>
      <c r="N89" s="93">
        <f>UninsLT18to64[[#This Row],[Alternate Adj. Total]]*(UninsLT18to64[[#This Row],[400% FPL and over - Uninsured]]/UninsLT18to64[[#This Row],[Total]])</f>
        <v>148.40679471615152</v>
      </c>
      <c r="O89" s="96">
        <v>114</v>
      </c>
      <c r="P89" s="64">
        <f>SUM(UninsLT18to64[[#This Row],[Below 138% of FPL - Uninsured]]+UninsLT18to64[[#This Row],[138 to 199% of FPL - Uninsured]]+UninsLT18to64[[#This Row],[200 to 399% of FPL - Uninsured]]+UninsLT18to64[[#This Row],[400% FPL and over - Uninsured]])</f>
        <v>1446</v>
      </c>
      <c r="Q89" s="83">
        <v>5.0358791099849295E-2</v>
      </c>
      <c r="R8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985.6</v>
      </c>
      <c r="S89" s="70">
        <f>IF(UninsLT18to64[[#This Row],[Total]]&lt;1000,UninsLT18to64[[#This Row],[Total]],MAX(VLOOKUP(UninsLT18to64[[#This Row],[ZIP Code]],IRSzipToCntyTbl[#All],3,0),(UninsLT18to64[[#This Row],[Total]]-(109811*(VLOOKUP(UninsLT18to64[[#This Row],[ZIP Code]],CitizenshipTbl[#All],4,0))))*0.8))</f>
        <v>1036.6967399012324</v>
      </c>
      <c r="V89" s="71"/>
    </row>
    <row r="90" spans="1:22" x14ac:dyDescent="0.3">
      <c r="A90" s="62">
        <v>21009</v>
      </c>
      <c r="B90" s="63" t="str">
        <f>VLOOKUP(A90,ZipToCntyTbl[#All],2,0)</f>
        <v>Abingdon</v>
      </c>
      <c r="C90" s="63" t="str">
        <f>VLOOKUP(A90,ZipToCntyTbl[#All],3,0)</f>
        <v>Harford</v>
      </c>
      <c r="D90" s="63">
        <v>187</v>
      </c>
      <c r="E90" s="93">
        <f>UninsLT18to64[[#This Row],[Alternate Adj. Total]]*(UninsLT18to64[[#This Row],[Below 138% of FPL - Uninsured]]/UninsLT18to64[[#This Row],[Total]])</f>
        <v>123.63212324317178</v>
      </c>
      <c r="F90" s="96">
        <v>170</v>
      </c>
      <c r="G90" s="63">
        <v>188</v>
      </c>
      <c r="H90" s="93">
        <f>UninsLT18to64[[#This Row],[Alternate Adj. Total]]*(UninsLT18to64[[#This Row],[138 to 199% of FPL - Uninsured]]/UninsLT18to64[[#This Row],[Total]])</f>
        <v>124.29325759206574</v>
      </c>
      <c r="I90" s="96">
        <v>169</v>
      </c>
      <c r="J90" s="63">
        <v>508</v>
      </c>
      <c r="K90" s="93">
        <f>UninsLT18to64[[#This Row],[Alternate Adj. Total]]*(UninsLT18to64[[#This Row],[200 to 399% of FPL - Uninsured]]/UninsLT18to64[[#This Row],[Total]])</f>
        <v>335.85624923813509</v>
      </c>
      <c r="L90" s="96">
        <v>301</v>
      </c>
      <c r="M90" s="63">
        <v>382</v>
      </c>
      <c r="N90" s="93">
        <f>UninsLT18to64[[#This Row],[Alternate Adj. Total]]*(UninsLT18to64[[#This Row],[400% FPL and over - Uninsured]]/UninsLT18to64[[#This Row],[Total]])</f>
        <v>252.55332127749526</v>
      </c>
      <c r="O90" s="96">
        <v>170</v>
      </c>
      <c r="P90" s="64">
        <f>SUM(UninsLT18to64[[#This Row],[Below 138% of FPL - Uninsured]]+UninsLT18to64[[#This Row],[138 to 199% of FPL - Uninsured]]+UninsLT18to64[[#This Row],[200 to 399% of FPL - Uninsured]]+UninsLT18to64[[#This Row],[400% FPL and over - Uninsured]])</f>
        <v>1265</v>
      </c>
      <c r="Q90" s="83">
        <v>5.7564278205835637E-2</v>
      </c>
      <c r="R9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761.6</v>
      </c>
      <c r="S90" s="70">
        <f>IF(UninsLT18to64[[#This Row],[Total]]&lt;1000,UninsLT18to64[[#This Row],[Total]],MAX(VLOOKUP(UninsLT18to64[[#This Row],[ZIP Code]],IRSzipToCntyTbl[#All],3,0),(UninsLT18to64[[#This Row],[Total]]-(109811*(VLOOKUP(UninsLT18to64[[#This Row],[ZIP Code]],CitizenshipTbl[#All],4,0))))*0.8))</f>
        <v>836.33495135086787</v>
      </c>
      <c r="V90" s="71"/>
    </row>
    <row r="91" spans="1:22" x14ac:dyDescent="0.3">
      <c r="A91" s="62">
        <v>21012</v>
      </c>
      <c r="B91" s="63" t="str">
        <f>VLOOKUP(A91,ZipToCntyTbl[#All],2,0)</f>
        <v>Arnold</v>
      </c>
      <c r="C91" s="63" t="str">
        <f>VLOOKUP(A91,ZipToCntyTbl[#All],3,0)</f>
        <v>Anne Arundel</v>
      </c>
      <c r="D91" s="63">
        <v>228</v>
      </c>
      <c r="E91" s="93">
        <f>UninsLT18to64[[#This Row],[Alternate Adj. Total]]*(UninsLT18to64[[#This Row],[Below 138% of FPL - Uninsured]]/UninsLT18to64[[#This Row],[Total]])</f>
        <v>228</v>
      </c>
      <c r="F91" s="96">
        <v>214</v>
      </c>
      <c r="G91" s="63">
        <v>66</v>
      </c>
      <c r="H91" s="93">
        <f>UninsLT18to64[[#This Row],[Alternate Adj. Total]]*(UninsLT18to64[[#This Row],[138 to 199% of FPL - Uninsured]]/UninsLT18to64[[#This Row],[Total]])</f>
        <v>66</v>
      </c>
      <c r="I91" s="96">
        <v>76</v>
      </c>
      <c r="J91" s="63">
        <v>290</v>
      </c>
      <c r="K91" s="93">
        <f>UninsLT18to64[[#This Row],[Alternate Adj. Total]]*(UninsLT18to64[[#This Row],[200 to 399% of FPL - Uninsured]]/UninsLT18to64[[#This Row],[Total]])</f>
        <v>290</v>
      </c>
      <c r="L91" s="96">
        <v>194</v>
      </c>
      <c r="M91" s="63">
        <v>201</v>
      </c>
      <c r="N91" s="93">
        <f>UninsLT18to64[[#This Row],[Alternate Adj. Total]]*(UninsLT18to64[[#This Row],[400% FPL and over - Uninsured]]/UninsLT18to64[[#This Row],[Total]])</f>
        <v>201</v>
      </c>
      <c r="O91" s="96">
        <v>121</v>
      </c>
      <c r="P91" s="64">
        <f>SUM(UninsLT18to64[[#This Row],[Below 138% of FPL - Uninsured]]+UninsLT18to64[[#This Row],[138 to 199% of FPL - Uninsured]]+UninsLT18to64[[#This Row],[200 to 399% of FPL - Uninsured]]+UninsLT18to64[[#This Row],[400% FPL and over - Uninsured]])</f>
        <v>785</v>
      </c>
      <c r="Q91" s="83">
        <v>9.2762817745709658E-2</v>
      </c>
      <c r="R9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785</v>
      </c>
      <c r="S91" s="70">
        <f>IF(UninsLT18to64[[#This Row],[Total]]&lt;1000,UninsLT18to64[[#This Row],[Total]],MAX(VLOOKUP(UninsLT18to64[[#This Row],[ZIP Code]],IRSzipToCntyTbl[#All],3,0),(UninsLT18to64[[#This Row],[Total]]-(109811*(VLOOKUP(UninsLT18to64[[#This Row],[ZIP Code]],CitizenshipTbl[#All],4,0))))*0.8))</f>
        <v>785</v>
      </c>
      <c r="V91" s="71"/>
    </row>
    <row r="92" spans="1:22" x14ac:dyDescent="0.3">
      <c r="A92" s="62">
        <v>21014</v>
      </c>
      <c r="B92" s="63" t="str">
        <f>VLOOKUP(A92,ZipToCntyTbl[#All],2,0)</f>
        <v>Bel Air</v>
      </c>
      <c r="C92" s="63" t="str">
        <f>VLOOKUP(A92,ZipToCntyTbl[#All],3,0)</f>
        <v>Harford</v>
      </c>
      <c r="D92" s="63">
        <v>216</v>
      </c>
      <c r="E92" s="93">
        <f>UninsLT18to64[[#This Row],[Alternate Adj. Total]]*(UninsLT18to64[[#This Row],[Below 138% of FPL - Uninsured]]/UninsLT18to64[[#This Row],[Total]])</f>
        <v>151.56337743529534</v>
      </c>
      <c r="F92" s="96">
        <v>184</v>
      </c>
      <c r="G92" s="63">
        <v>174</v>
      </c>
      <c r="H92" s="93">
        <f>UninsLT18to64[[#This Row],[Alternate Adj. Total]]*(UninsLT18to64[[#This Row],[138 to 199% of FPL - Uninsured]]/UninsLT18to64[[#This Row],[Total]])</f>
        <v>122.09272071176569</v>
      </c>
      <c r="I92" s="96">
        <v>159</v>
      </c>
      <c r="J92" s="63">
        <v>267</v>
      </c>
      <c r="K92" s="93">
        <f>UninsLT18to64[[#This Row],[Alternate Adj. Total]]*(UninsLT18to64[[#This Row],[200 to 399% of FPL - Uninsured]]/UninsLT18to64[[#This Row],[Total]])</f>
        <v>187.34917488529561</v>
      </c>
      <c r="L92" s="96">
        <v>172</v>
      </c>
      <c r="M92" s="63">
        <v>439</v>
      </c>
      <c r="N92" s="93">
        <f>UninsLT18to64[[#This Row],[Alternate Adj. Total]]*(UninsLT18to64[[#This Row],[400% FPL and over - Uninsured]]/UninsLT18to64[[#This Row],[Total]])</f>
        <v>308.03853099117896</v>
      </c>
      <c r="O92" s="96">
        <v>329</v>
      </c>
      <c r="P92" s="64">
        <f>SUM(UninsLT18to64[[#This Row],[Below 138% of FPL - Uninsured]]+UninsLT18to64[[#This Row],[138 to 199% of FPL - Uninsured]]+UninsLT18to64[[#This Row],[200 to 399% of FPL - Uninsured]]+UninsLT18to64[[#This Row],[400% FPL and over - Uninsured]])</f>
        <v>1096</v>
      </c>
      <c r="Q92" s="83">
        <v>6.6440521834290223E-2</v>
      </c>
      <c r="R9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723.2</v>
      </c>
      <c r="S92" s="70">
        <f>IF(UninsLT18to64[[#This Row],[Total]]&lt;1000,UninsLT18to64[[#This Row],[Total]],MAX(VLOOKUP(UninsLT18to64[[#This Row],[ZIP Code]],IRSzipToCntyTbl[#All],3,0),(UninsLT18to64[[#This Row],[Total]]-(109811*(VLOOKUP(UninsLT18to64[[#This Row],[ZIP Code]],CitizenshipTbl[#All],4,0))))*0.8))</f>
        <v>769.04380402353559</v>
      </c>
      <c r="V92" s="71"/>
    </row>
    <row r="93" spans="1:22" x14ac:dyDescent="0.3">
      <c r="A93" s="62">
        <v>21015</v>
      </c>
      <c r="B93" s="63" t="str">
        <f>VLOOKUP(A93,ZipToCntyTbl[#All],2,0)</f>
        <v>Bel Air</v>
      </c>
      <c r="C93" s="63" t="str">
        <f>VLOOKUP(A93,ZipToCntyTbl[#All],3,0)</f>
        <v>Harford</v>
      </c>
      <c r="D93" s="63">
        <v>163</v>
      </c>
      <c r="E93" s="93">
        <f>UninsLT18to64[[#This Row],[Alternate Adj. Total]]*(UninsLT18to64[[#This Row],[Below 138% of FPL - Uninsured]]/UninsLT18to64[[#This Row],[Total]])</f>
        <v>163</v>
      </c>
      <c r="F93" s="96">
        <v>182</v>
      </c>
      <c r="G93" s="63">
        <v>0</v>
      </c>
      <c r="H93" s="93">
        <f>UninsLT18to64[[#This Row],[Alternate Adj. Total]]*(UninsLT18to64[[#This Row],[138 to 199% of FPL - Uninsured]]/UninsLT18to64[[#This Row],[Total]])</f>
        <v>0</v>
      </c>
      <c r="I93" s="96">
        <v>44</v>
      </c>
      <c r="J93" s="63">
        <v>483</v>
      </c>
      <c r="K93" s="93">
        <f>UninsLT18to64[[#This Row],[Alternate Adj. Total]]*(UninsLT18to64[[#This Row],[200 to 399% of FPL - Uninsured]]/UninsLT18to64[[#This Row],[Total]])</f>
        <v>483</v>
      </c>
      <c r="L93" s="96">
        <v>289</v>
      </c>
      <c r="M93" s="63">
        <v>196</v>
      </c>
      <c r="N93" s="93">
        <f>UninsLT18to64[[#This Row],[Alternate Adj. Total]]*(UninsLT18to64[[#This Row],[400% FPL and over - Uninsured]]/UninsLT18to64[[#This Row],[Total]])</f>
        <v>196</v>
      </c>
      <c r="O93" s="96">
        <v>120</v>
      </c>
      <c r="P93" s="64">
        <f>SUM(UninsLT18to64[[#This Row],[Below 138% of FPL - Uninsured]]+UninsLT18to64[[#This Row],[138 to 199% of FPL - Uninsured]]+UninsLT18to64[[#This Row],[200 to 399% of FPL - Uninsured]]+UninsLT18to64[[#This Row],[400% FPL and over - Uninsured]])</f>
        <v>842</v>
      </c>
      <c r="Q93" s="83">
        <v>8.6483149561023848E-2</v>
      </c>
      <c r="R9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842</v>
      </c>
      <c r="S93" s="70">
        <f>IF(UninsLT18to64[[#This Row],[Total]]&lt;1000,UninsLT18to64[[#This Row],[Total]],MAX(VLOOKUP(UninsLT18to64[[#This Row],[ZIP Code]],IRSzipToCntyTbl[#All],3,0),(UninsLT18to64[[#This Row],[Total]]-(109811*(VLOOKUP(UninsLT18to64[[#This Row],[ZIP Code]],CitizenshipTbl[#All],4,0))))*0.8))</f>
        <v>842</v>
      </c>
      <c r="V93" s="71"/>
    </row>
    <row r="94" spans="1:22" x14ac:dyDescent="0.3">
      <c r="A94" s="62">
        <v>21017</v>
      </c>
      <c r="B94" s="63" t="str">
        <f>VLOOKUP(A94,ZipToCntyTbl[#All],2,0)</f>
        <v>Belcamp</v>
      </c>
      <c r="C94" s="63" t="str">
        <f>VLOOKUP(A94,ZipToCntyTbl[#All],3,0)</f>
        <v>Harford</v>
      </c>
      <c r="D94" s="63">
        <v>36</v>
      </c>
      <c r="E94" s="93">
        <f>UninsLT18to64[[#This Row],[Alternate Adj. Total]]*(UninsLT18to64[[#This Row],[Below 138% of FPL - Uninsured]]/UninsLT18to64[[#This Row],[Total]])</f>
        <v>36</v>
      </c>
      <c r="F94" s="96">
        <v>97</v>
      </c>
      <c r="G94" s="63">
        <v>64</v>
      </c>
      <c r="H94" s="93">
        <f>UninsLT18to64[[#This Row],[Alternate Adj. Total]]*(UninsLT18to64[[#This Row],[138 to 199% of FPL - Uninsured]]/UninsLT18to64[[#This Row],[Total]])</f>
        <v>64</v>
      </c>
      <c r="I94" s="96">
        <v>107</v>
      </c>
      <c r="J94" s="63">
        <v>101</v>
      </c>
      <c r="K94" s="93">
        <f>UninsLT18to64[[#This Row],[Alternate Adj. Total]]*(UninsLT18to64[[#This Row],[200 to 399% of FPL - Uninsured]]/UninsLT18to64[[#This Row],[Total]])</f>
        <v>101.00000000000001</v>
      </c>
      <c r="L94" s="96">
        <v>94</v>
      </c>
      <c r="M94" s="63">
        <v>107</v>
      </c>
      <c r="N94" s="93">
        <f>UninsLT18to64[[#This Row],[Alternate Adj. Total]]*(UninsLT18to64[[#This Row],[400% FPL and over - Uninsured]]/UninsLT18to64[[#This Row],[Total]])</f>
        <v>107</v>
      </c>
      <c r="O94" s="96">
        <v>104</v>
      </c>
      <c r="P94" s="64">
        <f>SUM(UninsLT18to64[[#This Row],[Below 138% of FPL - Uninsured]]+UninsLT18to64[[#This Row],[138 to 199% of FPL - Uninsured]]+UninsLT18to64[[#This Row],[200 to 399% of FPL - Uninsured]]+UninsLT18to64[[#This Row],[400% FPL and over - Uninsured]])</f>
        <v>308</v>
      </c>
      <c r="Q94" s="83">
        <v>0.23642471405968207</v>
      </c>
      <c r="R9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308</v>
      </c>
      <c r="S94" s="70">
        <f>IF(UninsLT18to64[[#This Row],[Total]]&lt;1000,UninsLT18to64[[#This Row],[Total]],MAX(VLOOKUP(UninsLT18to64[[#This Row],[ZIP Code]],IRSzipToCntyTbl[#All],3,0),(UninsLT18to64[[#This Row],[Total]]-(109811*(VLOOKUP(UninsLT18to64[[#This Row],[ZIP Code]],CitizenshipTbl[#All],4,0))))*0.8))</f>
        <v>308</v>
      </c>
      <c r="V94" s="71"/>
    </row>
    <row r="95" spans="1:22" x14ac:dyDescent="0.3">
      <c r="A95" s="62">
        <v>21029</v>
      </c>
      <c r="B95" s="63" t="str">
        <f>VLOOKUP(A95,ZipToCntyTbl[#All],2,0)</f>
        <v>Clarksville</v>
      </c>
      <c r="C95" s="63" t="str">
        <f>VLOOKUP(A95,ZipToCntyTbl[#All],3,0)</f>
        <v>Howard</v>
      </c>
      <c r="D95" s="63">
        <v>6</v>
      </c>
      <c r="E95" s="93">
        <f>UninsLT18to64[[#This Row],[Alternate Adj. Total]]*(UninsLT18to64[[#This Row],[Below 138% of FPL - Uninsured]]/UninsLT18to64[[#This Row],[Total]])</f>
        <v>6</v>
      </c>
      <c r="F95" s="96">
        <v>65</v>
      </c>
      <c r="G95" s="63">
        <v>18</v>
      </c>
      <c r="H95" s="93">
        <f>UninsLT18to64[[#This Row],[Alternate Adj. Total]]*(UninsLT18to64[[#This Row],[138 to 199% of FPL - Uninsured]]/UninsLT18to64[[#This Row],[Total]])</f>
        <v>18</v>
      </c>
      <c r="I95" s="96">
        <v>45</v>
      </c>
      <c r="J95" s="63">
        <v>133</v>
      </c>
      <c r="K95" s="93">
        <f>UninsLT18to64[[#This Row],[Alternate Adj. Total]]*(UninsLT18to64[[#This Row],[200 to 399% of FPL - Uninsured]]/UninsLT18to64[[#This Row],[Total]])</f>
        <v>133</v>
      </c>
      <c r="L95" s="96">
        <v>119</v>
      </c>
      <c r="M95" s="63">
        <v>112</v>
      </c>
      <c r="N95" s="93">
        <f>UninsLT18to64[[#This Row],[Alternate Adj. Total]]*(UninsLT18to64[[#This Row],[400% FPL and over - Uninsured]]/UninsLT18to64[[#This Row],[Total]])</f>
        <v>112</v>
      </c>
      <c r="O95" s="96">
        <v>143</v>
      </c>
      <c r="P95" s="64">
        <f>SUM(UninsLT18to64[[#This Row],[Below 138% of FPL - Uninsured]]+UninsLT18to64[[#This Row],[138 to 199% of FPL - Uninsured]]+UninsLT18to64[[#This Row],[200 to 399% of FPL - Uninsured]]+UninsLT18to64[[#This Row],[400% FPL and over - Uninsured]])</f>
        <v>269</v>
      </c>
      <c r="Q95" s="83">
        <v>0.27070190308692221</v>
      </c>
      <c r="R9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269</v>
      </c>
      <c r="S95" s="70">
        <f>IF(UninsLT18to64[[#This Row],[Total]]&lt;1000,UninsLT18to64[[#This Row],[Total]],MAX(VLOOKUP(UninsLT18to64[[#This Row],[ZIP Code]],IRSzipToCntyTbl[#All],3,0),(UninsLT18to64[[#This Row],[Total]]-(109811*(VLOOKUP(UninsLT18to64[[#This Row],[ZIP Code]],CitizenshipTbl[#All],4,0))))*0.8))</f>
        <v>269</v>
      </c>
      <c r="V95" s="71"/>
    </row>
    <row r="96" spans="1:22" x14ac:dyDescent="0.3">
      <c r="A96" s="62">
        <v>21030</v>
      </c>
      <c r="B96" s="63" t="str">
        <f>VLOOKUP(A96,ZipToCntyTbl[#All],2,0)</f>
        <v>Cockeysville</v>
      </c>
      <c r="C96" s="63" t="str">
        <f>VLOOKUP(A96,ZipToCntyTbl[#All],3,0)</f>
        <v>Baltimore</v>
      </c>
      <c r="D96" s="63">
        <v>786</v>
      </c>
      <c r="E96" s="93">
        <f>UninsLT18to64[[#This Row],[Alternate Adj. Total]]*(UninsLT18to64[[#This Row],[Below 138% of FPL - Uninsured]]/UninsLT18to64[[#This Row],[Total]])</f>
        <v>389.9672589582799</v>
      </c>
      <c r="F96" s="96">
        <v>624</v>
      </c>
      <c r="G96" s="63">
        <v>384</v>
      </c>
      <c r="H96" s="93">
        <f>UninsLT18to64[[#This Row],[Alternate Adj. Total]]*(UninsLT18to64[[#This Row],[138 to 199% of FPL - Uninsured]]/UninsLT18to64[[#This Row],[Total]])</f>
        <v>190.51835552160239</v>
      </c>
      <c r="I96" s="96">
        <v>218</v>
      </c>
      <c r="J96" s="63">
        <v>702</v>
      </c>
      <c r="K96" s="93">
        <f>UninsLT18to64[[#This Row],[Alternate Adj. Total]]*(UninsLT18to64[[#This Row],[200 to 399% of FPL - Uninsured]]/UninsLT18to64[[#This Row],[Total]])</f>
        <v>348.29136868792938</v>
      </c>
      <c r="L96" s="96">
        <v>346</v>
      </c>
      <c r="M96" s="63">
        <v>446</v>
      </c>
      <c r="N96" s="93">
        <f>UninsLT18to64[[#This Row],[Alternate Adj. Total]]*(UninsLT18to64[[#This Row],[400% FPL and over - Uninsured]]/UninsLT18to64[[#This Row],[Total]])</f>
        <v>221.27913167352779</v>
      </c>
      <c r="O96" s="96">
        <v>211</v>
      </c>
      <c r="P96" s="64">
        <f>SUM(UninsLT18to64[[#This Row],[Below 138% of FPL - Uninsured]]+UninsLT18to64[[#This Row],[138 to 199% of FPL - Uninsured]]+UninsLT18to64[[#This Row],[200 to 399% of FPL - Uninsured]]+UninsLT18to64[[#This Row],[400% FPL and over - Uninsured]])</f>
        <v>2318</v>
      </c>
      <c r="Q96" s="83">
        <v>3.1414500401372773E-2</v>
      </c>
      <c r="R9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850.40000000000009</v>
      </c>
      <c r="S96" s="70">
        <f>IF(UninsLT18to64[[#This Row],[Total]]&lt;1000,UninsLT18to64[[#This Row],[Total]],MAX(VLOOKUP(UninsLT18to64[[#This Row],[ZIP Code]],IRSzipToCntyTbl[#All],3,0),(UninsLT18to64[[#This Row],[Total]]-(109811*(VLOOKUP(UninsLT18to64[[#This Row],[ZIP Code]],CitizenshipTbl[#All],4,0))))*0.8))</f>
        <v>1150.0561148413394</v>
      </c>
      <c r="V96" s="71"/>
    </row>
    <row r="97" spans="1:22" x14ac:dyDescent="0.3">
      <c r="A97" s="62">
        <v>21032</v>
      </c>
      <c r="B97" s="63" t="str">
        <f>VLOOKUP(A97,ZipToCntyTbl[#All],2,0)</f>
        <v>Crownsville</v>
      </c>
      <c r="C97" s="63" t="str">
        <f>VLOOKUP(A97,ZipToCntyTbl[#All],3,0)</f>
        <v>Anne Arundel</v>
      </c>
      <c r="D97" s="63">
        <v>114</v>
      </c>
      <c r="E97" s="93">
        <f>UninsLT18to64[[#This Row],[Alternate Adj. Total]]*(UninsLT18to64[[#This Row],[Below 138% of FPL - Uninsured]]/UninsLT18to64[[#This Row],[Total]])</f>
        <v>114</v>
      </c>
      <c r="F97" s="96">
        <v>150</v>
      </c>
      <c r="G97" s="63">
        <v>26</v>
      </c>
      <c r="H97" s="93">
        <f>UninsLT18to64[[#This Row],[Alternate Adj. Total]]*(UninsLT18to64[[#This Row],[138 to 199% of FPL - Uninsured]]/UninsLT18to64[[#This Row],[Total]])</f>
        <v>26</v>
      </c>
      <c r="I97" s="96">
        <v>49</v>
      </c>
      <c r="J97" s="63">
        <v>58</v>
      </c>
      <c r="K97" s="93">
        <f>UninsLT18to64[[#This Row],[Alternate Adj. Total]]*(UninsLT18to64[[#This Row],[200 to 399% of FPL - Uninsured]]/UninsLT18to64[[#This Row],[Total]])</f>
        <v>58</v>
      </c>
      <c r="L97" s="96">
        <v>78</v>
      </c>
      <c r="M97" s="63">
        <v>110</v>
      </c>
      <c r="N97" s="93">
        <f>UninsLT18to64[[#This Row],[Alternate Adj. Total]]*(UninsLT18to64[[#This Row],[400% FPL and over - Uninsured]]/UninsLT18to64[[#This Row],[Total]])</f>
        <v>110</v>
      </c>
      <c r="O97" s="96">
        <v>98</v>
      </c>
      <c r="P97" s="64">
        <f>SUM(UninsLT18to64[[#This Row],[Below 138% of FPL - Uninsured]]+UninsLT18to64[[#This Row],[138 to 199% of FPL - Uninsured]]+UninsLT18to64[[#This Row],[200 to 399% of FPL - Uninsured]]+UninsLT18to64[[#This Row],[400% FPL and over - Uninsured]])</f>
        <v>308</v>
      </c>
      <c r="Q97" s="83">
        <v>0.23642471405968207</v>
      </c>
      <c r="R9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308</v>
      </c>
      <c r="S97" s="70">
        <f>IF(UninsLT18to64[[#This Row],[Total]]&lt;1000,UninsLT18to64[[#This Row],[Total]],MAX(VLOOKUP(UninsLT18to64[[#This Row],[ZIP Code]],IRSzipToCntyTbl[#All],3,0),(UninsLT18to64[[#This Row],[Total]]-(109811*(VLOOKUP(UninsLT18to64[[#This Row],[ZIP Code]],CitizenshipTbl[#All],4,0))))*0.8))</f>
        <v>308</v>
      </c>
      <c r="V97" s="71"/>
    </row>
    <row r="98" spans="1:22" x14ac:dyDescent="0.3">
      <c r="A98" s="62">
        <v>21037</v>
      </c>
      <c r="B98" s="63" t="str">
        <f>VLOOKUP(A98,ZipToCntyTbl[#All],2,0)</f>
        <v>Edgewater</v>
      </c>
      <c r="C98" s="63" t="str">
        <f>VLOOKUP(A98,ZipToCntyTbl[#All],3,0)</f>
        <v>Anne Arundel</v>
      </c>
      <c r="D98" s="63">
        <v>73</v>
      </c>
      <c r="E98" s="93">
        <f>UninsLT18to64[[#This Row],[Alternate Adj. Total]]*(UninsLT18to64[[#This Row],[Below 138% of FPL - Uninsured]]/UninsLT18to64[[#This Row],[Total]])</f>
        <v>39.245713276186393</v>
      </c>
      <c r="F98" s="96">
        <v>151</v>
      </c>
      <c r="G98" s="63">
        <v>215</v>
      </c>
      <c r="H98" s="93">
        <f>UninsLT18to64[[#This Row],[Alternate Adj. Total]]*(UninsLT18to64[[#This Row],[138 to 199% of FPL - Uninsured]]/UninsLT18to64[[#This Row],[Total]])</f>
        <v>115.58668978602843</v>
      </c>
      <c r="I98" s="96">
        <v>183</v>
      </c>
      <c r="J98" s="63">
        <v>654</v>
      </c>
      <c r="K98" s="93">
        <f>UninsLT18to64[[#This Row],[Alternate Adj. Total]]*(UninsLT18to64[[#This Row],[200 to 399% of FPL - Uninsured]]/UninsLT18to64[[#This Row],[Total]])</f>
        <v>351.5985819537795</v>
      </c>
      <c r="L98" s="96">
        <v>370</v>
      </c>
      <c r="M98" s="63">
        <v>305</v>
      </c>
      <c r="N98" s="93">
        <f>UninsLT18to64[[#This Row],[Alternate Adj. Total]]*(UninsLT18to64[[#This Row],[400% FPL and over - Uninsured]]/UninsLT18to64[[#This Row],[Total]])</f>
        <v>163.97181574297056</v>
      </c>
      <c r="O98" s="96">
        <v>181</v>
      </c>
      <c r="P98" s="64">
        <f>SUM(UninsLT18to64[[#This Row],[Below 138% of FPL - Uninsured]]+UninsLT18to64[[#This Row],[138 to 199% of FPL - Uninsured]]+UninsLT18to64[[#This Row],[200 to 399% of FPL - Uninsured]]+UninsLT18to64[[#This Row],[400% FPL and over - Uninsured]])</f>
        <v>1247</v>
      </c>
      <c r="Q98" s="83">
        <v>5.8395198019552591E-2</v>
      </c>
      <c r="R9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531.20000000000005</v>
      </c>
      <c r="S98" s="70">
        <f>IF(UninsLT18to64[[#This Row],[Total]]&lt;1000,UninsLT18to64[[#This Row],[Total]],MAX(VLOOKUP(UninsLT18to64[[#This Row],[ZIP Code]],IRSzipToCntyTbl[#All],3,0),(UninsLT18to64[[#This Row],[Total]]-(109811*(VLOOKUP(UninsLT18to64[[#This Row],[ZIP Code]],CitizenshipTbl[#All],4,0))))*0.8))</f>
        <v>670.40280075896487</v>
      </c>
      <c r="V98" s="71"/>
    </row>
    <row r="99" spans="1:22" x14ac:dyDescent="0.3">
      <c r="A99" s="62">
        <v>21040</v>
      </c>
      <c r="B99" s="63" t="str">
        <f>VLOOKUP(A99,ZipToCntyTbl[#All],2,0)</f>
        <v>Edgewood</v>
      </c>
      <c r="C99" s="63" t="str">
        <f>VLOOKUP(A99,ZipToCntyTbl[#All],3,0)</f>
        <v>Harford</v>
      </c>
      <c r="D99" s="63">
        <v>538</v>
      </c>
      <c r="E99" s="93">
        <f>UninsLT18to64[[#This Row],[Alternate Adj. Total]]*(UninsLT18to64[[#This Row],[Below 138% of FPL - Uninsured]]/UninsLT18to64[[#This Row],[Total]])</f>
        <v>392.22577937316635</v>
      </c>
      <c r="F99" s="96">
        <v>405</v>
      </c>
      <c r="G99" s="63">
        <v>100</v>
      </c>
      <c r="H99" s="93">
        <f>UninsLT18to64[[#This Row],[Alternate Adj. Total]]*(UninsLT18to64[[#This Row],[138 to 199% of FPL - Uninsured]]/UninsLT18to64[[#This Row],[Total]])</f>
        <v>72.904419957837604</v>
      </c>
      <c r="I99" s="96">
        <v>87</v>
      </c>
      <c r="J99" s="63">
        <v>568</v>
      </c>
      <c r="K99" s="93">
        <f>UninsLT18to64[[#This Row],[Alternate Adj. Total]]*(UninsLT18to64[[#This Row],[200 to 399% of FPL - Uninsured]]/UninsLT18to64[[#This Row],[Total]])</f>
        <v>414.09710536051762</v>
      </c>
      <c r="L99" s="96">
        <v>368</v>
      </c>
      <c r="M99" s="63">
        <v>281</v>
      </c>
      <c r="N99" s="93">
        <f>UninsLT18to64[[#This Row],[Alternate Adj. Total]]*(UninsLT18to64[[#This Row],[400% FPL and over - Uninsured]]/UninsLT18to64[[#This Row],[Total]])</f>
        <v>204.86142008152368</v>
      </c>
      <c r="O99" s="96">
        <v>187</v>
      </c>
      <c r="P99" s="64">
        <f>SUM(UninsLT18to64[[#This Row],[Below 138% of FPL - Uninsured]]+UninsLT18to64[[#This Row],[138 to 199% of FPL - Uninsured]]+UninsLT18to64[[#This Row],[200 to 399% of FPL - Uninsured]]+UninsLT18to64[[#This Row],[400% FPL and over - Uninsured]])</f>
        <v>1487</v>
      </c>
      <c r="Q99" s="83">
        <v>4.8970283746053854E-2</v>
      </c>
      <c r="R9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1039.2</v>
      </c>
      <c r="S99" s="70">
        <f>IF(UninsLT18to64[[#This Row],[Total]]&lt;1000,UninsLT18to64[[#This Row],[Total]],MAX(VLOOKUP(UninsLT18to64[[#This Row],[ZIP Code]],IRSzipToCntyTbl[#All],3,0),(UninsLT18to64[[#This Row],[Total]]-(109811*(VLOOKUP(UninsLT18to64[[#This Row],[ZIP Code]],CitizenshipTbl[#All],4,0))))*0.8))</f>
        <v>1084.0887247730452</v>
      </c>
      <c r="V99" s="71"/>
    </row>
    <row r="100" spans="1:22" x14ac:dyDescent="0.3">
      <c r="A100" s="62">
        <v>21042</v>
      </c>
      <c r="B100" s="63" t="str">
        <f>VLOOKUP(A100,ZipToCntyTbl[#All],2,0)</f>
        <v>Ellicott City</v>
      </c>
      <c r="C100" s="63" t="str">
        <f>VLOOKUP(A100,ZipToCntyTbl[#All],3,0)</f>
        <v>Howard</v>
      </c>
      <c r="D100" s="63">
        <v>154</v>
      </c>
      <c r="E100" s="93">
        <f>UninsLT18to64[[#This Row],[Alternate Adj. Total]]*(UninsLT18to64[[#This Row],[Below 138% of FPL - Uninsured]]/UninsLT18to64[[#This Row],[Total]])</f>
        <v>108.41142602300407</v>
      </c>
      <c r="F100" s="96">
        <v>157</v>
      </c>
      <c r="G100" s="63">
        <v>24</v>
      </c>
      <c r="H100" s="93">
        <f>UninsLT18to64[[#This Row],[Alternate Adj. Total]]*(UninsLT18to64[[#This Row],[138 to 199% of FPL - Uninsured]]/UninsLT18to64[[#This Row],[Total]])</f>
        <v>16.895287172416218</v>
      </c>
      <c r="I100" s="96">
        <v>49</v>
      </c>
      <c r="J100" s="63">
        <v>238</v>
      </c>
      <c r="K100" s="93">
        <f>UninsLT18to64[[#This Row],[Alternate Adj. Total]]*(UninsLT18to64[[#This Row],[200 to 399% of FPL - Uninsured]]/UninsLT18to64[[#This Row],[Total]])</f>
        <v>167.54493112646082</v>
      </c>
      <c r="L100" s="96">
        <v>135</v>
      </c>
      <c r="M100" s="63">
        <v>823</v>
      </c>
      <c r="N100" s="93">
        <f>UninsLT18to64[[#This Row],[Alternate Adj. Total]]*(UninsLT18to64[[#This Row],[400% FPL and over - Uninsured]]/UninsLT18to64[[#This Row],[Total]])</f>
        <v>579.36755595410614</v>
      </c>
      <c r="O100" s="96">
        <v>383</v>
      </c>
      <c r="P100" s="64">
        <f>SUM(UninsLT18to64[[#This Row],[Below 138% of FPL - Uninsured]]+UninsLT18to64[[#This Row],[138 to 199% of FPL - Uninsured]]+UninsLT18to64[[#This Row],[200 to 399% of FPL - Uninsured]]+UninsLT18to64[[#This Row],[400% FPL and over - Uninsured]])</f>
        <v>1239</v>
      </c>
      <c r="Q100" s="83">
        <v>5.8772245302971815E-2</v>
      </c>
      <c r="R10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821.6</v>
      </c>
      <c r="S100" s="70">
        <f>IF(UninsLT18to64[[#This Row],[Total]]&lt;1000,UninsLT18to64[[#This Row],[Total]],MAX(VLOOKUP(UninsLT18to64[[#This Row],[ZIP Code]],IRSzipToCntyTbl[#All],3,0),(UninsLT18to64[[#This Row],[Total]]-(109811*(VLOOKUP(UninsLT18to64[[#This Row],[ZIP Code]],CitizenshipTbl[#All],4,0))))*0.8))</f>
        <v>872.21920027598719</v>
      </c>
      <c r="V100" s="71"/>
    </row>
    <row r="101" spans="1:22" x14ac:dyDescent="0.3">
      <c r="A101" s="62">
        <v>21043</v>
      </c>
      <c r="B101" s="63" t="str">
        <f>VLOOKUP(A101,ZipToCntyTbl[#All],2,0)</f>
        <v>Ellicott City</v>
      </c>
      <c r="C101" s="63" t="str">
        <f>VLOOKUP(A101,ZipToCntyTbl[#All],3,0)</f>
        <v>Howard</v>
      </c>
      <c r="D101" s="63">
        <v>268</v>
      </c>
      <c r="E101" s="93">
        <f>UninsLT18to64[[#This Row],[Alternate Adj. Total]]*(UninsLT18to64[[#This Row],[Below 138% of FPL - Uninsured]]/UninsLT18to64[[#This Row],[Total]])</f>
        <v>131.84297333193041</v>
      </c>
      <c r="F101" s="96">
        <v>183</v>
      </c>
      <c r="G101" s="63">
        <v>370</v>
      </c>
      <c r="H101" s="93">
        <f>UninsLT18to64[[#This Row],[Alternate Adj. Total]]*(UninsLT18to64[[#This Row],[138 to 199% of FPL - Uninsured]]/UninsLT18to64[[#This Row],[Total]])</f>
        <v>182.02201542094869</v>
      </c>
      <c r="I101" s="96">
        <v>320</v>
      </c>
      <c r="J101" s="63">
        <v>424</v>
      </c>
      <c r="K101" s="93">
        <f>UninsLT18to64[[#This Row],[Alternate Adj. Total]]*(UninsLT18to64[[#This Row],[200 to 399% of FPL - Uninsured]]/UninsLT18to64[[#This Row],[Total]])</f>
        <v>208.58739064454662</v>
      </c>
      <c r="L101" s="96">
        <v>222</v>
      </c>
      <c r="M101" s="63">
        <v>636</v>
      </c>
      <c r="N101" s="93">
        <f>UninsLT18to64[[#This Row],[Alternate Adj. Total]]*(UninsLT18to64[[#This Row],[400% FPL and over - Uninsured]]/UninsLT18to64[[#This Row],[Total]])</f>
        <v>312.88108596681991</v>
      </c>
      <c r="O101" s="96">
        <v>333</v>
      </c>
      <c r="P101" s="64">
        <f>SUM(UninsLT18to64[[#This Row],[Below 138% of FPL - Uninsured]]+UninsLT18to64[[#This Row],[138 to 199% of FPL - Uninsured]]+UninsLT18to64[[#This Row],[200 to 399% of FPL - Uninsured]]+UninsLT18to64[[#This Row],[400% FPL and over - Uninsured]])</f>
        <v>1698</v>
      </c>
      <c r="Q101" s="83">
        <v>4.2885048251108414E-2</v>
      </c>
      <c r="R10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612.80000000000007</v>
      </c>
      <c r="S101" s="70">
        <f>IF(UninsLT18to64[[#This Row],[Total]]&lt;1000,UninsLT18to64[[#This Row],[Total]],MAX(VLOOKUP(UninsLT18to64[[#This Row],[ZIP Code]],IRSzipToCntyTbl[#All],3,0),(UninsLT18to64[[#This Row],[Total]]-(109811*(VLOOKUP(UninsLT18to64[[#This Row],[ZIP Code]],CitizenshipTbl[#All],4,0))))*0.8))</f>
        <v>835.33346536424563</v>
      </c>
      <c r="V101" s="71"/>
    </row>
    <row r="102" spans="1:22" x14ac:dyDescent="0.3">
      <c r="A102" s="62">
        <v>21044</v>
      </c>
      <c r="B102" s="63" t="str">
        <f>VLOOKUP(A102,ZipToCntyTbl[#All],2,0)</f>
        <v>Columbia</v>
      </c>
      <c r="C102" s="63" t="str">
        <f>VLOOKUP(A102,ZipToCntyTbl[#All],3,0)</f>
        <v>Howard</v>
      </c>
      <c r="D102" s="63">
        <v>363</v>
      </c>
      <c r="E102" s="93">
        <f>UninsLT18to64[[#This Row],[Alternate Adj. Total]]*(UninsLT18to64[[#This Row],[Below 138% of FPL - Uninsured]]/UninsLT18to64[[#This Row],[Total]])</f>
        <v>200.03138458559224</v>
      </c>
      <c r="F102" s="96">
        <v>352</v>
      </c>
      <c r="G102" s="63">
        <v>428</v>
      </c>
      <c r="H102" s="93">
        <f>UninsLT18to64[[#This Row],[Alternate Adj. Total]]*(UninsLT18to64[[#This Row],[138 to 199% of FPL - Uninsured]]/UninsLT18to64[[#This Row],[Total]])</f>
        <v>235.84967659127682</v>
      </c>
      <c r="I102" s="96">
        <v>318</v>
      </c>
      <c r="J102" s="63">
        <v>951</v>
      </c>
      <c r="K102" s="93">
        <f>UninsLT18to64[[#This Row],[Alternate Adj. Total]]*(UninsLT18to64[[#This Row],[200 to 399% of FPL - Uninsured]]/UninsLT18to64[[#This Row],[Total]])</f>
        <v>524.04916457547722</v>
      </c>
      <c r="L102" s="96">
        <v>383</v>
      </c>
      <c r="M102" s="63">
        <v>438</v>
      </c>
      <c r="N102" s="93">
        <f>UninsLT18to64[[#This Row],[Alternate Adj. Total]]*(UninsLT18to64[[#This Row],[400% FPL and over - Uninsured]]/UninsLT18to64[[#This Row],[Total]])</f>
        <v>241.36018305368984</v>
      </c>
      <c r="O102" s="96">
        <v>260</v>
      </c>
      <c r="P102" s="64">
        <f>SUM(UninsLT18to64[[#This Row],[Below 138% of FPL - Uninsured]]+UninsLT18to64[[#This Row],[138 to 199% of FPL - Uninsured]]+UninsLT18to64[[#This Row],[200 to 399% of FPL - Uninsured]]+UninsLT18to64[[#This Row],[400% FPL and over - Uninsured]])</f>
        <v>2180</v>
      </c>
      <c r="Q102" s="83">
        <v>3.3403124738707379E-2</v>
      </c>
      <c r="R10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970.40000000000009</v>
      </c>
      <c r="S102" s="70">
        <f>IF(UninsLT18to64[[#This Row],[Total]]&lt;1000,UninsLT18to64[[#This Row],[Total]],MAX(VLOOKUP(UninsLT18to64[[#This Row],[ZIP Code]],IRSzipToCntyTbl[#All],3,0),(UninsLT18to64[[#This Row],[Total]]-(109811*(VLOOKUP(UninsLT18to64[[#This Row],[ZIP Code]],CitizenshipTbl[#All],4,0))))*0.8))</f>
        <v>1201.2904088060361</v>
      </c>
      <c r="V102" s="71"/>
    </row>
    <row r="103" spans="1:22" x14ac:dyDescent="0.3">
      <c r="A103" s="62">
        <v>21045</v>
      </c>
      <c r="B103" s="63" t="str">
        <f>VLOOKUP(A103,ZipToCntyTbl[#All],2,0)</f>
        <v>Columbia</v>
      </c>
      <c r="C103" s="63" t="str">
        <f>VLOOKUP(A103,ZipToCntyTbl[#All],3,0)</f>
        <v>Howard</v>
      </c>
      <c r="D103" s="63">
        <v>519</v>
      </c>
      <c r="E103" s="93">
        <f>UninsLT18to64[[#This Row],[Alternate Adj. Total]]*(UninsLT18to64[[#This Row],[Below 138% of FPL - Uninsured]]/UninsLT18to64[[#This Row],[Total]])</f>
        <v>272.20234860574914</v>
      </c>
      <c r="F103" s="96">
        <v>336</v>
      </c>
      <c r="G103" s="63">
        <v>177</v>
      </c>
      <c r="H103" s="93">
        <f>UninsLT18to64[[#This Row],[Alternate Adj. Total]]*(UninsLT18to64[[#This Row],[138 to 199% of FPL - Uninsured]]/UninsLT18to64[[#This Row],[Total]])</f>
        <v>92.832014842423121</v>
      </c>
      <c r="I103" s="96">
        <v>145</v>
      </c>
      <c r="J103" s="63">
        <v>389</v>
      </c>
      <c r="K103" s="93">
        <f>UninsLT18to64[[#This Row],[Alternate Adj. Total]]*(UninsLT18to64[[#This Row],[200 to 399% of FPL - Uninsured]]/UninsLT18to64[[#This Row],[Total]])</f>
        <v>204.0206427892802</v>
      </c>
      <c r="L103" s="96">
        <v>208</v>
      </c>
      <c r="M103" s="63">
        <v>569</v>
      </c>
      <c r="N103" s="93">
        <f>UninsLT18to64[[#This Row],[Alternate Adj. Total]]*(UninsLT18to64[[#This Row],[400% FPL and over - Uninsured]]/UninsLT18to64[[#This Row],[Total]])</f>
        <v>298.42608161208335</v>
      </c>
      <c r="O103" s="96">
        <v>313</v>
      </c>
      <c r="P103" s="64">
        <f>SUM(UninsLT18to64[[#This Row],[Below 138% of FPL - Uninsured]]+UninsLT18to64[[#This Row],[138 to 199% of FPL - Uninsured]]+UninsLT18to64[[#This Row],[200 to 399% of FPL - Uninsured]]+UninsLT18to64[[#This Row],[400% FPL and over - Uninsured]])</f>
        <v>1654</v>
      </c>
      <c r="Q103" s="83">
        <v>4.402588387568445E-2</v>
      </c>
      <c r="R10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673.6</v>
      </c>
      <c r="S103" s="70">
        <f>IF(UninsLT18to64[[#This Row],[Total]]&lt;1000,UninsLT18to64[[#This Row],[Total]],MAX(VLOOKUP(UninsLT18to64[[#This Row],[ZIP Code]],IRSzipToCntyTbl[#All],3,0),(UninsLT18to64[[#This Row],[Total]]-(109811*(VLOOKUP(UninsLT18to64[[#This Row],[ZIP Code]],CitizenshipTbl[#All],4,0))))*0.8))</f>
        <v>867.48108784953592</v>
      </c>
      <c r="V103" s="71"/>
    </row>
    <row r="104" spans="1:22" x14ac:dyDescent="0.3">
      <c r="A104" s="62">
        <v>21046</v>
      </c>
      <c r="B104" s="63" t="str">
        <f>VLOOKUP(A104,ZipToCntyTbl[#All],2,0)</f>
        <v>Columbia</v>
      </c>
      <c r="C104" s="63" t="str">
        <f>VLOOKUP(A104,ZipToCntyTbl[#All],3,0)</f>
        <v>Howard</v>
      </c>
      <c r="D104" s="63">
        <v>254</v>
      </c>
      <c r="E104" s="93">
        <f>UninsLT18to64[[#This Row],[Alternate Adj. Total]]*(UninsLT18to64[[#This Row],[Below 138% of FPL - Uninsured]]/UninsLT18to64[[#This Row],[Total]])</f>
        <v>254.00000000000003</v>
      </c>
      <c r="F104" s="96">
        <v>311</v>
      </c>
      <c r="G104" s="63">
        <v>83</v>
      </c>
      <c r="H104" s="93">
        <f>UninsLT18to64[[#This Row],[Alternate Adj. Total]]*(UninsLT18to64[[#This Row],[138 to 199% of FPL - Uninsured]]/UninsLT18to64[[#This Row],[Total]])</f>
        <v>83</v>
      </c>
      <c r="I104" s="96">
        <v>80</v>
      </c>
      <c r="J104" s="63">
        <v>245</v>
      </c>
      <c r="K104" s="93">
        <f>UninsLT18to64[[#This Row],[Alternate Adj. Total]]*(UninsLT18to64[[#This Row],[200 to 399% of FPL - Uninsured]]/UninsLT18to64[[#This Row],[Total]])</f>
        <v>245</v>
      </c>
      <c r="L104" s="96">
        <v>229</v>
      </c>
      <c r="M104" s="63">
        <v>73</v>
      </c>
      <c r="N104" s="93">
        <f>UninsLT18to64[[#This Row],[Alternate Adj. Total]]*(UninsLT18to64[[#This Row],[400% FPL and over - Uninsured]]/UninsLT18to64[[#This Row],[Total]])</f>
        <v>73</v>
      </c>
      <c r="O104" s="96">
        <v>54</v>
      </c>
      <c r="P104" s="64">
        <f>SUM(UninsLT18to64[[#This Row],[Below 138% of FPL - Uninsured]]+UninsLT18to64[[#This Row],[138 to 199% of FPL - Uninsured]]+UninsLT18to64[[#This Row],[200 to 399% of FPL - Uninsured]]+UninsLT18to64[[#This Row],[400% FPL and over - Uninsured]])</f>
        <v>655</v>
      </c>
      <c r="Q104" s="83">
        <v>0.11117375867233906</v>
      </c>
      <c r="R10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655</v>
      </c>
      <c r="S104" s="70">
        <f>IF(UninsLT18to64[[#This Row],[Total]]&lt;1000,UninsLT18to64[[#This Row],[Total]],MAX(VLOOKUP(UninsLT18to64[[#This Row],[ZIP Code]],IRSzipToCntyTbl[#All],3,0),(UninsLT18to64[[#This Row],[Total]]-(109811*(VLOOKUP(UninsLT18to64[[#This Row],[ZIP Code]],CitizenshipTbl[#All],4,0))))*0.8))</f>
        <v>655</v>
      </c>
      <c r="V104" s="71"/>
    </row>
    <row r="105" spans="1:22" x14ac:dyDescent="0.3">
      <c r="A105" s="62">
        <v>21047</v>
      </c>
      <c r="B105" s="63" t="str">
        <f>VLOOKUP(A105,ZipToCntyTbl[#All],2,0)</f>
        <v>Fallston</v>
      </c>
      <c r="C105" s="63" t="str">
        <f>VLOOKUP(A105,ZipToCntyTbl[#All],3,0)</f>
        <v>Harford</v>
      </c>
      <c r="D105" s="63">
        <v>125</v>
      </c>
      <c r="E105" s="93">
        <f>UninsLT18to64[[#This Row],[Alternate Adj. Total]]*(UninsLT18to64[[#This Row],[Below 138% of FPL - Uninsured]]/UninsLT18to64[[#This Row],[Total]])</f>
        <v>125</v>
      </c>
      <c r="F105" s="96">
        <v>176</v>
      </c>
      <c r="G105" s="63">
        <v>0</v>
      </c>
      <c r="H105" s="93">
        <f>UninsLT18to64[[#This Row],[Alternate Adj. Total]]*(UninsLT18to64[[#This Row],[138 to 199% of FPL - Uninsured]]/UninsLT18to64[[#This Row],[Total]])</f>
        <v>0</v>
      </c>
      <c r="I105" s="96">
        <v>38</v>
      </c>
      <c r="J105" s="63">
        <v>140</v>
      </c>
      <c r="K105" s="93">
        <f>UninsLT18to64[[#This Row],[Alternate Adj. Total]]*(UninsLT18to64[[#This Row],[200 to 399% of FPL - Uninsured]]/UninsLT18to64[[#This Row],[Total]])</f>
        <v>140</v>
      </c>
      <c r="L105" s="96">
        <v>129</v>
      </c>
      <c r="M105" s="63">
        <v>140</v>
      </c>
      <c r="N105" s="93">
        <f>UninsLT18to64[[#This Row],[Alternate Adj. Total]]*(UninsLT18to64[[#This Row],[400% FPL and over - Uninsured]]/UninsLT18to64[[#This Row],[Total]])</f>
        <v>140</v>
      </c>
      <c r="O105" s="96">
        <v>102</v>
      </c>
      <c r="P105" s="64">
        <f>SUM(UninsLT18to64[[#This Row],[Below 138% of FPL - Uninsured]]+UninsLT18to64[[#This Row],[138 to 199% of FPL - Uninsured]]+UninsLT18to64[[#This Row],[200 to 399% of FPL - Uninsured]]+UninsLT18to64[[#This Row],[400% FPL and over - Uninsured]])</f>
        <v>405</v>
      </c>
      <c r="Q105" s="83">
        <v>0.17979953563057305</v>
      </c>
      <c r="R10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405</v>
      </c>
      <c r="S105" s="70">
        <f>IF(UninsLT18to64[[#This Row],[Total]]&lt;1000,UninsLT18to64[[#This Row],[Total]],MAX(VLOOKUP(UninsLT18to64[[#This Row],[ZIP Code]],IRSzipToCntyTbl[#All],3,0),(UninsLT18to64[[#This Row],[Total]]-(109811*(VLOOKUP(UninsLT18to64[[#This Row],[ZIP Code]],CitizenshipTbl[#All],4,0))))*0.8))</f>
        <v>405</v>
      </c>
      <c r="V105" s="71"/>
    </row>
    <row r="106" spans="1:22" x14ac:dyDescent="0.3">
      <c r="A106" s="62">
        <v>21048</v>
      </c>
      <c r="B106" s="63" t="str">
        <f>VLOOKUP(A106,ZipToCntyTbl[#All],2,0)</f>
        <v>Finksburg</v>
      </c>
      <c r="C106" s="63" t="str">
        <f>VLOOKUP(A106,ZipToCntyTbl[#All],3,0)</f>
        <v>Carroll</v>
      </c>
      <c r="D106" s="63">
        <v>24</v>
      </c>
      <c r="E106" s="93">
        <f>UninsLT18to64[[#This Row],[Alternate Adj. Total]]*(UninsLT18to64[[#This Row],[Below 138% of FPL - Uninsured]]/UninsLT18to64[[#This Row],[Total]])</f>
        <v>24</v>
      </c>
      <c r="F106" s="96">
        <v>92</v>
      </c>
      <c r="G106" s="63">
        <v>26</v>
      </c>
      <c r="H106" s="93">
        <f>UninsLT18to64[[#This Row],[Alternate Adj. Total]]*(UninsLT18to64[[#This Row],[138 to 199% of FPL - Uninsured]]/UninsLT18to64[[#This Row],[Total]])</f>
        <v>26</v>
      </c>
      <c r="I106" s="96">
        <v>60</v>
      </c>
      <c r="J106" s="63">
        <v>164</v>
      </c>
      <c r="K106" s="93">
        <f>UninsLT18to64[[#This Row],[Alternate Adj. Total]]*(UninsLT18to64[[#This Row],[200 to 399% of FPL - Uninsured]]/UninsLT18to64[[#This Row],[Total]])</f>
        <v>164</v>
      </c>
      <c r="L106" s="96">
        <v>147</v>
      </c>
      <c r="M106" s="63">
        <v>109</v>
      </c>
      <c r="N106" s="93">
        <f>UninsLT18to64[[#This Row],[Alternate Adj. Total]]*(UninsLT18to64[[#This Row],[400% FPL and over - Uninsured]]/UninsLT18to64[[#This Row],[Total]])</f>
        <v>109</v>
      </c>
      <c r="O106" s="96">
        <v>109</v>
      </c>
      <c r="P106" s="64">
        <f>SUM(UninsLT18to64[[#This Row],[Below 138% of FPL - Uninsured]]+UninsLT18to64[[#This Row],[138 to 199% of FPL - Uninsured]]+UninsLT18to64[[#This Row],[200 to 399% of FPL - Uninsured]]+UninsLT18to64[[#This Row],[400% FPL and over - Uninsured]])</f>
        <v>323</v>
      </c>
      <c r="Q106" s="83">
        <v>0.22544523817455753</v>
      </c>
      <c r="R10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323</v>
      </c>
      <c r="S106" s="70">
        <f>IF(UninsLT18to64[[#This Row],[Total]]&lt;1000,UninsLT18to64[[#This Row],[Total]],MAX(VLOOKUP(UninsLT18to64[[#This Row],[ZIP Code]],IRSzipToCntyTbl[#All],3,0),(UninsLT18to64[[#This Row],[Total]]-(109811*(VLOOKUP(UninsLT18to64[[#This Row],[ZIP Code]],CitizenshipTbl[#All],4,0))))*0.8))</f>
        <v>323</v>
      </c>
      <c r="V106" s="71"/>
    </row>
    <row r="107" spans="1:22" x14ac:dyDescent="0.3">
      <c r="A107" s="62">
        <v>21050</v>
      </c>
      <c r="B107" s="63" t="str">
        <f>VLOOKUP(A107,ZipToCntyTbl[#All],2,0)</f>
        <v>Forest Hill</v>
      </c>
      <c r="C107" s="63" t="str">
        <f>VLOOKUP(A107,ZipToCntyTbl[#All],3,0)</f>
        <v>Harford</v>
      </c>
      <c r="D107" s="63">
        <v>103</v>
      </c>
      <c r="E107" s="93">
        <f>UninsLT18to64[[#This Row],[Alternate Adj. Total]]*(UninsLT18to64[[#This Row],[Below 138% of FPL - Uninsured]]/UninsLT18to64[[#This Row],[Total]])</f>
        <v>103</v>
      </c>
      <c r="F107" s="96">
        <v>102</v>
      </c>
      <c r="G107" s="63">
        <v>19</v>
      </c>
      <c r="H107" s="93">
        <f>UninsLT18to64[[#This Row],[Alternate Adj. Total]]*(UninsLT18to64[[#This Row],[138 to 199% of FPL - Uninsured]]/UninsLT18to64[[#This Row],[Total]])</f>
        <v>19</v>
      </c>
      <c r="I107" s="96">
        <v>49</v>
      </c>
      <c r="J107" s="63">
        <v>173</v>
      </c>
      <c r="K107" s="93">
        <f>UninsLT18to64[[#This Row],[Alternate Adj. Total]]*(UninsLT18to64[[#This Row],[200 to 399% of FPL - Uninsured]]/UninsLT18to64[[#This Row],[Total]])</f>
        <v>173</v>
      </c>
      <c r="L107" s="96">
        <v>102</v>
      </c>
      <c r="M107" s="63">
        <v>112</v>
      </c>
      <c r="N107" s="93">
        <f>UninsLT18to64[[#This Row],[Alternate Adj. Total]]*(UninsLT18to64[[#This Row],[400% FPL and over - Uninsured]]/UninsLT18to64[[#This Row],[Total]])</f>
        <v>112</v>
      </c>
      <c r="O107" s="96">
        <v>81</v>
      </c>
      <c r="P107" s="64">
        <f>SUM(UninsLT18to64[[#This Row],[Below 138% of FPL - Uninsured]]+UninsLT18to64[[#This Row],[138 to 199% of FPL - Uninsured]]+UninsLT18to64[[#This Row],[200 to 399% of FPL - Uninsured]]+UninsLT18to64[[#This Row],[400% FPL and over - Uninsured]])</f>
        <v>407</v>
      </c>
      <c r="Q107" s="83">
        <v>0.1789159998289486</v>
      </c>
      <c r="R10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407</v>
      </c>
      <c r="S107" s="70">
        <f>IF(UninsLT18to64[[#This Row],[Total]]&lt;1000,UninsLT18to64[[#This Row],[Total]],MAX(VLOOKUP(UninsLT18to64[[#This Row],[ZIP Code]],IRSzipToCntyTbl[#All],3,0),(UninsLT18to64[[#This Row],[Total]]-(109811*(VLOOKUP(UninsLT18to64[[#This Row],[ZIP Code]],CitizenshipTbl[#All],4,0))))*0.8))</f>
        <v>407</v>
      </c>
      <c r="V107" s="71"/>
    </row>
    <row r="108" spans="1:22" x14ac:dyDescent="0.3">
      <c r="A108" s="62">
        <v>21053</v>
      </c>
      <c r="B108" s="63" t="str">
        <f>VLOOKUP(A108,ZipToCntyTbl[#All],2,0)</f>
        <v>Freeland</v>
      </c>
      <c r="C108" s="63" t="str">
        <f>VLOOKUP(A108,ZipToCntyTbl[#All],3,0)</f>
        <v>Baltimore</v>
      </c>
      <c r="D108" s="63">
        <v>70</v>
      </c>
      <c r="E108" s="93">
        <f>UninsLT18to64[[#This Row],[Alternate Adj. Total]]*(UninsLT18to64[[#This Row],[Below 138% of FPL - Uninsured]]/UninsLT18to64[[#This Row],[Total]])</f>
        <v>70</v>
      </c>
      <c r="F108" s="96">
        <v>122</v>
      </c>
      <c r="G108" s="63">
        <v>0</v>
      </c>
      <c r="H108" s="93">
        <f>UninsLT18to64[[#This Row],[Alternate Adj. Total]]*(UninsLT18to64[[#This Row],[138 to 199% of FPL - Uninsured]]/UninsLT18to64[[#This Row],[Total]])</f>
        <v>0</v>
      </c>
      <c r="I108" s="96">
        <v>24</v>
      </c>
      <c r="J108" s="63">
        <v>200</v>
      </c>
      <c r="K108" s="93">
        <f>UninsLT18to64[[#This Row],[Alternate Adj. Total]]*(UninsLT18to64[[#This Row],[200 to 399% of FPL - Uninsured]]/UninsLT18to64[[#This Row],[Total]])</f>
        <v>199.99999999999997</v>
      </c>
      <c r="L108" s="96">
        <v>206</v>
      </c>
      <c r="M108" s="63">
        <v>117</v>
      </c>
      <c r="N108" s="93">
        <f>UninsLT18to64[[#This Row],[Alternate Adj. Total]]*(UninsLT18to64[[#This Row],[400% FPL and over - Uninsured]]/UninsLT18to64[[#This Row],[Total]])</f>
        <v>117</v>
      </c>
      <c r="O108" s="96">
        <v>100</v>
      </c>
      <c r="P108" s="64">
        <f>SUM(UninsLT18to64[[#This Row],[Below 138% of FPL - Uninsured]]+UninsLT18to64[[#This Row],[138 to 199% of FPL - Uninsured]]+UninsLT18to64[[#This Row],[200 to 399% of FPL - Uninsured]]+UninsLT18to64[[#This Row],[400% FPL and over - Uninsured]])</f>
        <v>387</v>
      </c>
      <c r="Q108" s="83">
        <v>0.18816230472966947</v>
      </c>
      <c r="R10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387</v>
      </c>
      <c r="S108" s="70">
        <f>IF(UninsLT18to64[[#This Row],[Total]]&lt;1000,UninsLT18to64[[#This Row],[Total]],MAX(VLOOKUP(UninsLT18to64[[#This Row],[ZIP Code]],IRSzipToCntyTbl[#All],3,0),(UninsLT18to64[[#This Row],[Total]]-(109811*(VLOOKUP(UninsLT18to64[[#This Row],[ZIP Code]],CitizenshipTbl[#All],4,0))))*0.8))</f>
        <v>387</v>
      </c>
      <c r="V108" s="71"/>
    </row>
    <row r="109" spans="1:22" x14ac:dyDescent="0.3">
      <c r="A109" s="62">
        <v>21054</v>
      </c>
      <c r="B109" s="63" t="str">
        <f>VLOOKUP(A109,ZipToCntyTbl[#All],2,0)</f>
        <v>Gambrills</v>
      </c>
      <c r="C109" s="63" t="str">
        <f>VLOOKUP(A109,ZipToCntyTbl[#All],3,0)</f>
        <v>Anne Arundel</v>
      </c>
      <c r="D109" s="63">
        <v>56</v>
      </c>
      <c r="E109" s="93">
        <f>UninsLT18to64[[#This Row],[Alternate Adj. Total]]*(UninsLT18to64[[#This Row],[Below 138% of FPL - Uninsured]]/UninsLT18to64[[#This Row],[Total]])</f>
        <v>56</v>
      </c>
      <c r="F109" s="96">
        <v>97</v>
      </c>
      <c r="G109" s="63">
        <v>11</v>
      </c>
      <c r="H109" s="93">
        <f>UninsLT18to64[[#This Row],[Alternate Adj. Total]]*(UninsLT18to64[[#This Row],[138 to 199% of FPL - Uninsured]]/UninsLT18to64[[#This Row],[Total]])</f>
        <v>11</v>
      </c>
      <c r="I109" s="96">
        <v>36</v>
      </c>
      <c r="J109" s="63">
        <v>50</v>
      </c>
      <c r="K109" s="93">
        <f>UninsLT18to64[[#This Row],[Alternate Adj. Total]]*(UninsLT18to64[[#This Row],[200 to 399% of FPL - Uninsured]]/UninsLT18to64[[#This Row],[Total]])</f>
        <v>50</v>
      </c>
      <c r="L109" s="96">
        <v>58</v>
      </c>
      <c r="M109" s="63">
        <v>177</v>
      </c>
      <c r="N109" s="93">
        <f>UninsLT18to64[[#This Row],[Alternate Adj. Total]]*(UninsLT18to64[[#This Row],[400% FPL and over - Uninsured]]/UninsLT18to64[[#This Row],[Total]])</f>
        <v>177</v>
      </c>
      <c r="O109" s="96">
        <v>180</v>
      </c>
      <c r="P109" s="64">
        <f>SUM(UninsLT18to64[[#This Row],[Below 138% of FPL - Uninsured]]+UninsLT18to64[[#This Row],[138 to 199% of FPL - Uninsured]]+UninsLT18to64[[#This Row],[200 to 399% of FPL - Uninsured]]+UninsLT18to64[[#This Row],[400% FPL and over - Uninsured]])</f>
        <v>294</v>
      </c>
      <c r="Q109" s="83">
        <v>0.24768303377680981</v>
      </c>
      <c r="R10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294</v>
      </c>
      <c r="S109" s="70">
        <f>IF(UninsLT18to64[[#This Row],[Total]]&lt;1000,UninsLT18to64[[#This Row],[Total]],MAX(VLOOKUP(UninsLT18to64[[#This Row],[ZIP Code]],IRSzipToCntyTbl[#All],3,0),(UninsLT18to64[[#This Row],[Total]]-(109811*(VLOOKUP(UninsLT18to64[[#This Row],[ZIP Code]],CitizenshipTbl[#All],4,0))))*0.8))</f>
        <v>294</v>
      </c>
      <c r="V109" s="71"/>
    </row>
    <row r="110" spans="1:22" x14ac:dyDescent="0.3">
      <c r="A110" s="62">
        <v>21060</v>
      </c>
      <c r="B110" s="63" t="str">
        <f>VLOOKUP(A110,ZipToCntyTbl[#All],2,0)</f>
        <v>Glen Burnie</v>
      </c>
      <c r="C110" s="63" t="str">
        <f>VLOOKUP(A110,ZipToCntyTbl[#All],3,0)</f>
        <v>Anne Arundel</v>
      </c>
      <c r="D110" s="63">
        <v>295</v>
      </c>
      <c r="E110" s="93">
        <f>UninsLT18to64[[#This Row],[Alternate Adj. Total]]*(UninsLT18to64[[#This Row],[Below 138% of FPL - Uninsured]]/UninsLT18to64[[#This Row],[Total]])</f>
        <v>192.74546017631769</v>
      </c>
      <c r="F110" s="96">
        <v>215</v>
      </c>
      <c r="G110" s="63">
        <v>564</v>
      </c>
      <c r="H110" s="93">
        <f>UninsLT18to64[[#This Row],[Alternate Adj. Total]]*(UninsLT18to64[[#This Row],[138 to 199% of FPL - Uninsured]]/UninsLT18to64[[#This Row],[Total]])</f>
        <v>368.50318487946834</v>
      </c>
      <c r="I110" s="96">
        <v>322</v>
      </c>
      <c r="J110" s="63">
        <v>1078</v>
      </c>
      <c r="K110" s="93">
        <f>UninsLT18to64[[#This Row],[Alternate Adj. Total]]*(UninsLT18to64[[#This Row],[200 to 399% of FPL - Uninsured]]/UninsLT18to64[[#This Row],[Total]])</f>
        <v>704.33764769515403</v>
      </c>
      <c r="L110" s="96">
        <v>469</v>
      </c>
      <c r="M110" s="63">
        <v>417</v>
      </c>
      <c r="N110" s="93">
        <f>UninsLT18to64[[#This Row],[Alternate Adj. Total]]*(UninsLT18to64[[#This Row],[400% FPL and over - Uninsured]]/UninsLT18to64[[#This Row],[Total]])</f>
        <v>272.45714201194738</v>
      </c>
      <c r="O110" s="96">
        <v>167</v>
      </c>
      <c r="P110" s="64">
        <f>SUM(UninsLT18to64[[#This Row],[Below 138% of FPL - Uninsured]]+UninsLT18to64[[#This Row],[138 to 199% of FPL - Uninsured]]+UninsLT18to64[[#This Row],[200 to 399% of FPL - Uninsured]]+UninsLT18to64[[#This Row],[400% FPL and over - Uninsured]])</f>
        <v>2354</v>
      </c>
      <c r="Q110" s="83">
        <v>3.0934074736780833E-2</v>
      </c>
      <c r="R11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1391.2</v>
      </c>
      <c r="S110" s="70">
        <f>IF(UninsLT18to64[[#This Row],[Total]]&lt;1000,UninsLT18to64[[#This Row],[Total]],MAX(VLOOKUP(UninsLT18to64[[#This Row],[ZIP Code]],IRSzipToCntyTbl[#All],3,0),(UninsLT18to64[[#This Row],[Total]]-(109811*(VLOOKUP(UninsLT18to64[[#This Row],[ZIP Code]],CitizenshipTbl[#All],4,0))))*0.8))</f>
        <v>1538.0434347628875</v>
      </c>
      <c r="V110" s="71"/>
    </row>
    <row r="111" spans="1:22" x14ac:dyDescent="0.3">
      <c r="A111" s="62">
        <v>21061</v>
      </c>
      <c r="B111" s="63" t="str">
        <f>VLOOKUP(A111,ZipToCntyTbl[#All],2,0)</f>
        <v>Glen Burnie</v>
      </c>
      <c r="C111" s="63" t="str">
        <f>VLOOKUP(A111,ZipToCntyTbl[#All],3,0)</f>
        <v>Anne Arundel</v>
      </c>
      <c r="D111" s="63">
        <v>809</v>
      </c>
      <c r="E111" s="93">
        <f>UninsLT18to64[[#This Row],[Alternate Adj. Total]]*(UninsLT18to64[[#This Row],[Below 138% of FPL - Uninsured]]/UninsLT18to64[[#This Row],[Total]])</f>
        <v>510.292926951553</v>
      </c>
      <c r="F111" s="96">
        <v>513</v>
      </c>
      <c r="G111" s="63">
        <v>814</v>
      </c>
      <c r="H111" s="93">
        <f>UninsLT18to64[[#This Row],[Alternate Adj. Total]]*(UninsLT18to64[[#This Row],[138 to 199% of FPL - Uninsured]]/UninsLT18to64[[#This Row],[Total]])</f>
        <v>513.44677693271217</v>
      </c>
      <c r="I111" s="96">
        <v>350</v>
      </c>
      <c r="J111" s="63">
        <v>1980</v>
      </c>
      <c r="K111" s="93">
        <f>UninsLT18to64[[#This Row],[Alternate Adj. Total]]*(UninsLT18to64[[#This Row],[200 to 399% of FPL - Uninsured]]/UninsLT18to64[[#This Row],[Total]])</f>
        <v>1248.9245925390294</v>
      </c>
      <c r="L111" s="96">
        <v>654</v>
      </c>
      <c r="M111" s="63">
        <v>569</v>
      </c>
      <c r="N111" s="93">
        <f>UninsLT18to64[[#This Row],[Alternate Adj. Total]]*(UninsLT18to64[[#This Row],[400% FPL and over - Uninsured]]/UninsLT18to64[[#This Row],[Total]])</f>
        <v>358.90812785591305</v>
      </c>
      <c r="O111" s="96">
        <v>292</v>
      </c>
      <c r="P111" s="64">
        <f>SUM(UninsLT18to64[[#This Row],[Below 138% of FPL - Uninsured]]+UninsLT18to64[[#This Row],[138 to 199% of FPL - Uninsured]]+UninsLT18to64[[#This Row],[200 to 399% of FPL - Uninsured]]+UninsLT18to64[[#This Row],[400% FPL and over - Uninsured]])</f>
        <v>4172</v>
      </c>
      <c r="Q111" s="83">
        <v>1.7454173521184585E-2</v>
      </c>
      <c r="R11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2331.2000000000003</v>
      </c>
      <c r="S111" s="70">
        <f>IF(UninsLT18to64[[#This Row],[Total]]&lt;1000,UninsLT18to64[[#This Row],[Total]],MAX(VLOOKUP(UninsLT18to64[[#This Row],[ZIP Code]],IRSzipToCntyTbl[#All],3,0),(UninsLT18to64[[#This Row],[Total]]-(109811*(VLOOKUP(UninsLT18to64[[#This Row],[ZIP Code]],CitizenshipTbl[#All],4,0))))*0.8))</f>
        <v>2631.5724242792076</v>
      </c>
      <c r="V111" s="71"/>
    </row>
    <row r="112" spans="1:22" x14ac:dyDescent="0.3">
      <c r="A112" s="62">
        <v>21074</v>
      </c>
      <c r="B112" s="63" t="str">
        <f>VLOOKUP(A112,ZipToCntyTbl[#All],2,0)</f>
        <v>Hampstead</v>
      </c>
      <c r="C112" s="63" t="str">
        <f>VLOOKUP(A112,ZipToCntyTbl[#All],3,0)</f>
        <v>Carroll</v>
      </c>
      <c r="D112" s="63">
        <v>123</v>
      </c>
      <c r="E112" s="93">
        <f>UninsLT18to64[[#This Row],[Alternate Adj. Total]]*(UninsLT18to64[[#This Row],[Below 138% of FPL - Uninsured]]/UninsLT18to64[[#This Row],[Total]])</f>
        <v>123</v>
      </c>
      <c r="F112" s="96">
        <v>142</v>
      </c>
      <c r="G112" s="63">
        <v>235</v>
      </c>
      <c r="H112" s="93">
        <f>UninsLT18to64[[#This Row],[Alternate Adj. Total]]*(UninsLT18to64[[#This Row],[138 to 199% of FPL - Uninsured]]/UninsLT18to64[[#This Row],[Total]])</f>
        <v>235</v>
      </c>
      <c r="I112" s="96">
        <v>167</v>
      </c>
      <c r="J112" s="63">
        <v>75</v>
      </c>
      <c r="K112" s="93">
        <f>UninsLT18to64[[#This Row],[Alternate Adj. Total]]*(UninsLT18to64[[#This Row],[200 to 399% of FPL - Uninsured]]/UninsLT18to64[[#This Row],[Total]])</f>
        <v>75</v>
      </c>
      <c r="L112" s="96">
        <v>77</v>
      </c>
      <c r="M112" s="63">
        <v>36</v>
      </c>
      <c r="N112" s="93">
        <f>UninsLT18to64[[#This Row],[Alternate Adj. Total]]*(UninsLT18to64[[#This Row],[400% FPL and over - Uninsured]]/UninsLT18to64[[#This Row],[Total]])</f>
        <v>36</v>
      </c>
      <c r="O112" s="96">
        <v>50</v>
      </c>
      <c r="P112" s="64">
        <f>SUM(UninsLT18to64[[#This Row],[Below 138% of FPL - Uninsured]]+UninsLT18to64[[#This Row],[138 to 199% of FPL - Uninsured]]+UninsLT18to64[[#This Row],[200 to 399% of FPL - Uninsured]]+UninsLT18to64[[#This Row],[400% FPL and over - Uninsured]])</f>
        <v>469</v>
      </c>
      <c r="Q112" s="83">
        <v>0.1552639913227763</v>
      </c>
      <c r="R11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469</v>
      </c>
      <c r="S112" s="70">
        <f>IF(UninsLT18to64[[#This Row],[Total]]&lt;1000,UninsLT18to64[[#This Row],[Total]],MAX(VLOOKUP(UninsLT18to64[[#This Row],[ZIP Code]],IRSzipToCntyTbl[#All],3,0),(UninsLT18to64[[#This Row],[Total]]-(109811*(VLOOKUP(UninsLT18to64[[#This Row],[ZIP Code]],CitizenshipTbl[#All],4,0))))*0.8))</f>
        <v>469</v>
      </c>
      <c r="V112" s="71"/>
    </row>
    <row r="113" spans="1:22" x14ac:dyDescent="0.3">
      <c r="A113" s="62">
        <v>21075</v>
      </c>
      <c r="B113" s="63" t="str">
        <f>VLOOKUP(A113,ZipToCntyTbl[#All],2,0)</f>
        <v>Elkridge</v>
      </c>
      <c r="C113" s="63" t="str">
        <f>VLOOKUP(A113,ZipToCntyTbl[#All],3,0)</f>
        <v>Howard</v>
      </c>
      <c r="D113" s="63">
        <v>697</v>
      </c>
      <c r="E113" s="93">
        <f>UninsLT18to64[[#This Row],[Alternate Adj. Total]]*(UninsLT18to64[[#This Row],[Below 138% of FPL - Uninsured]]/UninsLT18to64[[#This Row],[Total]])</f>
        <v>383.76484473492201</v>
      </c>
      <c r="F113" s="96">
        <v>521</v>
      </c>
      <c r="G113" s="63">
        <v>254</v>
      </c>
      <c r="H113" s="93">
        <f>UninsLT18to64[[#This Row],[Alternate Adj. Total]]*(UninsLT18to64[[#This Row],[138 to 199% of FPL - Uninsured]]/UninsLT18to64[[#This Row],[Total]])</f>
        <v>139.85117727786255</v>
      </c>
      <c r="I113" s="96">
        <v>221</v>
      </c>
      <c r="J113" s="63">
        <v>485</v>
      </c>
      <c r="K113" s="93">
        <f>UninsLT18to64[[#This Row],[Alternate Adj. Total]]*(UninsLT18to64[[#This Row],[200 to 399% of FPL - Uninsured]]/UninsLT18to64[[#This Row],[Total]])</f>
        <v>267.0386652746588</v>
      </c>
      <c r="L113" s="96">
        <v>249</v>
      </c>
      <c r="M113" s="63">
        <v>587</v>
      </c>
      <c r="N113" s="93">
        <f>UninsLT18to64[[#This Row],[Alternate Adj. Total]]*(UninsLT18to64[[#This Row],[400% FPL and over - Uninsured]]/UninsLT18to64[[#This Row],[Total]])</f>
        <v>323.19937426025717</v>
      </c>
      <c r="O113" s="96">
        <v>227</v>
      </c>
      <c r="P113" s="64">
        <f>SUM(UninsLT18to64[[#This Row],[Below 138% of FPL - Uninsured]]+UninsLT18to64[[#This Row],[138 to 199% of FPL - Uninsured]]+UninsLT18to64[[#This Row],[200 to 399% of FPL - Uninsured]]+UninsLT18to64[[#This Row],[400% FPL and over - Uninsured]])</f>
        <v>2023</v>
      </c>
      <c r="Q113" s="83">
        <v>3.599545819593776E-2</v>
      </c>
      <c r="R11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899.2</v>
      </c>
      <c r="S113" s="70">
        <f>IF(UninsLT18to64[[#This Row],[Total]]&lt;1000,UninsLT18to64[[#This Row],[Total]],MAX(VLOOKUP(UninsLT18to64[[#This Row],[ZIP Code]],IRSzipToCntyTbl[#All],3,0),(UninsLT18to64[[#This Row],[Total]]-(109811*(VLOOKUP(UninsLT18to64[[#This Row],[ZIP Code]],CitizenshipTbl[#All],4,0))))*0.8))</f>
        <v>1113.8540615477004</v>
      </c>
      <c r="V113" s="71"/>
    </row>
    <row r="114" spans="1:22" x14ac:dyDescent="0.3">
      <c r="A114" s="62">
        <v>21076</v>
      </c>
      <c r="B114" s="63" t="str">
        <f>VLOOKUP(A114,ZipToCntyTbl[#All],2,0)</f>
        <v>Hanover</v>
      </c>
      <c r="C114" s="63" t="str">
        <f>VLOOKUP(A114,ZipToCntyTbl[#All],3,0)</f>
        <v>Anne Arundel</v>
      </c>
      <c r="D114" s="63">
        <v>67</v>
      </c>
      <c r="E114" s="93">
        <f>UninsLT18to64[[#This Row],[Alternate Adj. Total]]*(UninsLT18to64[[#This Row],[Below 138% of FPL - Uninsured]]/UninsLT18to64[[#This Row],[Total]])</f>
        <v>67</v>
      </c>
      <c r="F114" s="96">
        <v>148</v>
      </c>
      <c r="G114" s="63">
        <v>100</v>
      </c>
      <c r="H114" s="93">
        <f>UninsLT18to64[[#This Row],[Alternate Adj. Total]]*(UninsLT18to64[[#This Row],[138 to 199% of FPL - Uninsured]]/UninsLT18to64[[#This Row],[Total]])</f>
        <v>100</v>
      </c>
      <c r="I114" s="96">
        <v>120</v>
      </c>
      <c r="J114" s="63">
        <v>128</v>
      </c>
      <c r="K114" s="93">
        <f>UninsLT18to64[[#This Row],[Alternate Adj. Total]]*(UninsLT18to64[[#This Row],[200 to 399% of FPL - Uninsured]]/UninsLT18to64[[#This Row],[Total]])</f>
        <v>128</v>
      </c>
      <c r="L114" s="96">
        <v>120</v>
      </c>
      <c r="M114" s="63">
        <v>295</v>
      </c>
      <c r="N114" s="93">
        <f>UninsLT18to64[[#This Row],[Alternate Adj. Total]]*(UninsLT18to64[[#This Row],[400% FPL and over - Uninsured]]/UninsLT18to64[[#This Row],[Total]])</f>
        <v>295</v>
      </c>
      <c r="O114" s="96">
        <v>205</v>
      </c>
      <c r="P114" s="64">
        <f>SUM(UninsLT18to64[[#This Row],[Below 138% of FPL - Uninsured]]+UninsLT18to64[[#This Row],[138 to 199% of FPL - Uninsured]]+UninsLT18to64[[#This Row],[200 to 399% of FPL - Uninsured]]+UninsLT18to64[[#This Row],[400% FPL and over - Uninsured]])</f>
        <v>590</v>
      </c>
      <c r="Q114" s="83">
        <v>0.12342171513624081</v>
      </c>
      <c r="R11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590</v>
      </c>
      <c r="S114" s="70">
        <f>IF(UninsLT18to64[[#This Row],[Total]]&lt;1000,UninsLT18to64[[#This Row],[Total]],MAX(VLOOKUP(UninsLT18to64[[#This Row],[ZIP Code]],IRSzipToCntyTbl[#All],3,0),(UninsLT18to64[[#This Row],[Total]]-(109811*(VLOOKUP(UninsLT18to64[[#This Row],[ZIP Code]],CitizenshipTbl[#All],4,0))))*0.8))</f>
        <v>590</v>
      </c>
      <c r="V114" s="71"/>
    </row>
    <row r="115" spans="1:22" x14ac:dyDescent="0.3">
      <c r="A115" s="62">
        <v>21078</v>
      </c>
      <c r="B115" s="63" t="str">
        <f>VLOOKUP(A115,ZipToCntyTbl[#All],2,0)</f>
        <v>Havre De Grace</v>
      </c>
      <c r="C115" s="63" t="str">
        <f>VLOOKUP(A115,ZipToCntyTbl[#All],3,0)</f>
        <v>Harford</v>
      </c>
      <c r="D115" s="63">
        <v>129</v>
      </c>
      <c r="E115" s="93">
        <f>UninsLT18to64[[#This Row],[Alternate Adj. Total]]*(UninsLT18to64[[#This Row],[Below 138% of FPL - Uninsured]]/UninsLT18to64[[#This Row],[Total]])</f>
        <v>129</v>
      </c>
      <c r="F115" s="96">
        <v>126</v>
      </c>
      <c r="G115" s="63">
        <v>98</v>
      </c>
      <c r="H115" s="93">
        <f>UninsLT18to64[[#This Row],[Alternate Adj. Total]]*(UninsLT18to64[[#This Row],[138 to 199% of FPL - Uninsured]]/UninsLT18to64[[#This Row],[Total]])</f>
        <v>98</v>
      </c>
      <c r="I115" s="96">
        <v>88</v>
      </c>
      <c r="J115" s="63">
        <v>215</v>
      </c>
      <c r="K115" s="93">
        <f>UninsLT18to64[[#This Row],[Alternate Adj. Total]]*(UninsLT18to64[[#This Row],[200 to 399% of FPL - Uninsured]]/UninsLT18to64[[#This Row],[Total]])</f>
        <v>215</v>
      </c>
      <c r="L115" s="96">
        <v>139</v>
      </c>
      <c r="M115" s="63">
        <v>110</v>
      </c>
      <c r="N115" s="93">
        <f>UninsLT18to64[[#This Row],[Alternate Adj. Total]]*(UninsLT18to64[[#This Row],[400% FPL and over - Uninsured]]/UninsLT18to64[[#This Row],[Total]])</f>
        <v>110</v>
      </c>
      <c r="O115" s="96">
        <v>104</v>
      </c>
      <c r="P115" s="64">
        <f>SUM(UninsLT18to64[[#This Row],[Below 138% of FPL - Uninsured]]+UninsLT18to64[[#This Row],[138 to 199% of FPL - Uninsured]]+UninsLT18to64[[#This Row],[200 to 399% of FPL - Uninsured]]+UninsLT18to64[[#This Row],[400% FPL and over - Uninsured]])</f>
        <v>552</v>
      </c>
      <c r="Q115" s="83">
        <v>0.13191813755504</v>
      </c>
      <c r="R11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552</v>
      </c>
      <c r="S115" s="70">
        <f>IF(UninsLT18to64[[#This Row],[Total]]&lt;1000,UninsLT18to64[[#This Row],[Total]],MAX(VLOOKUP(UninsLT18to64[[#This Row],[ZIP Code]],IRSzipToCntyTbl[#All],3,0),(UninsLT18to64[[#This Row],[Total]]-(109811*(VLOOKUP(UninsLT18to64[[#This Row],[ZIP Code]],CitizenshipTbl[#All],4,0))))*0.8))</f>
        <v>552</v>
      </c>
      <c r="V115" s="71"/>
    </row>
    <row r="116" spans="1:22" x14ac:dyDescent="0.3">
      <c r="A116" s="62">
        <v>21084</v>
      </c>
      <c r="B116" s="63" t="str">
        <f>VLOOKUP(A116,ZipToCntyTbl[#All],2,0)</f>
        <v>Jarrettsville</v>
      </c>
      <c r="C116" s="63" t="str">
        <f>VLOOKUP(A116,ZipToCntyTbl[#All],3,0)</f>
        <v>Harford</v>
      </c>
      <c r="D116" s="63">
        <v>129</v>
      </c>
      <c r="E116" s="93">
        <f>UninsLT18to64[[#This Row],[Alternate Adj. Total]]*(UninsLT18to64[[#This Row],[Below 138% of FPL - Uninsured]]/UninsLT18to64[[#This Row],[Total]])</f>
        <v>129</v>
      </c>
      <c r="F116" s="96">
        <v>230</v>
      </c>
      <c r="G116" s="63">
        <v>7</v>
      </c>
      <c r="H116" s="93">
        <f>UninsLT18to64[[#This Row],[Alternate Adj. Total]]*(UninsLT18to64[[#This Row],[138 to 199% of FPL - Uninsured]]/UninsLT18to64[[#This Row],[Total]])</f>
        <v>7</v>
      </c>
      <c r="I116" s="96">
        <v>29</v>
      </c>
      <c r="J116" s="63">
        <v>89</v>
      </c>
      <c r="K116" s="93">
        <f>UninsLT18to64[[#This Row],[Alternate Adj. Total]]*(UninsLT18to64[[#This Row],[200 to 399% of FPL - Uninsured]]/UninsLT18to64[[#This Row],[Total]])</f>
        <v>89</v>
      </c>
      <c r="L116" s="96">
        <v>97</v>
      </c>
      <c r="M116" s="63">
        <v>44</v>
      </c>
      <c r="N116" s="93">
        <f>UninsLT18to64[[#This Row],[Alternate Adj. Total]]*(UninsLT18to64[[#This Row],[400% FPL and over - Uninsured]]/UninsLT18to64[[#This Row],[Total]])</f>
        <v>44</v>
      </c>
      <c r="O116" s="96">
        <v>53</v>
      </c>
      <c r="P116" s="64">
        <f>SUM(UninsLT18to64[[#This Row],[Below 138% of FPL - Uninsured]]+UninsLT18to64[[#This Row],[138 to 199% of FPL - Uninsured]]+UninsLT18to64[[#This Row],[200 to 399% of FPL - Uninsured]]+UninsLT18to64[[#This Row],[400% FPL and over - Uninsured]])</f>
        <v>269</v>
      </c>
      <c r="Q116" s="83">
        <v>0.27070190308692221</v>
      </c>
      <c r="R11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269</v>
      </c>
      <c r="S116" s="70">
        <f>IF(UninsLT18to64[[#This Row],[Total]]&lt;1000,UninsLT18to64[[#This Row],[Total]],MAX(VLOOKUP(UninsLT18to64[[#This Row],[ZIP Code]],IRSzipToCntyTbl[#All],3,0),(UninsLT18to64[[#This Row],[Total]]-(109811*(VLOOKUP(UninsLT18to64[[#This Row],[ZIP Code]],CitizenshipTbl[#All],4,0))))*0.8))</f>
        <v>269</v>
      </c>
      <c r="V116" s="71"/>
    </row>
    <row r="117" spans="1:22" x14ac:dyDescent="0.3">
      <c r="A117" s="62">
        <v>21085</v>
      </c>
      <c r="B117" s="63" t="str">
        <f>VLOOKUP(A117,ZipToCntyTbl[#All],2,0)</f>
        <v>Joppa</v>
      </c>
      <c r="C117" s="63" t="str">
        <f>VLOOKUP(A117,ZipToCntyTbl[#All],3,0)</f>
        <v>Harford</v>
      </c>
      <c r="D117" s="63">
        <v>266</v>
      </c>
      <c r="E117" s="93">
        <f>UninsLT18to64[[#This Row],[Alternate Adj. Total]]*(UninsLT18to64[[#This Row],[Below 138% of FPL - Uninsured]]/UninsLT18to64[[#This Row],[Total]])</f>
        <v>266</v>
      </c>
      <c r="F117" s="96">
        <v>217</v>
      </c>
      <c r="G117" s="63">
        <v>11</v>
      </c>
      <c r="H117" s="93">
        <f>UninsLT18to64[[#This Row],[Alternate Adj. Total]]*(UninsLT18to64[[#This Row],[138 to 199% of FPL - Uninsured]]/UninsLT18to64[[#This Row],[Total]])</f>
        <v>11</v>
      </c>
      <c r="I117" s="96">
        <v>15</v>
      </c>
      <c r="J117" s="63">
        <v>168</v>
      </c>
      <c r="K117" s="93">
        <f>UninsLT18to64[[#This Row],[Alternate Adj. Total]]*(UninsLT18to64[[#This Row],[200 to 399% of FPL - Uninsured]]/UninsLT18to64[[#This Row],[Total]])</f>
        <v>168</v>
      </c>
      <c r="L117" s="96">
        <v>102</v>
      </c>
      <c r="M117" s="63">
        <v>139</v>
      </c>
      <c r="N117" s="93">
        <f>UninsLT18to64[[#This Row],[Alternate Adj. Total]]*(UninsLT18to64[[#This Row],[400% FPL and over - Uninsured]]/UninsLT18to64[[#This Row],[Total]])</f>
        <v>139</v>
      </c>
      <c r="O117" s="96">
        <v>68</v>
      </c>
      <c r="P117" s="64">
        <f>SUM(UninsLT18to64[[#This Row],[Below 138% of FPL - Uninsured]]+UninsLT18to64[[#This Row],[138 to 199% of FPL - Uninsured]]+UninsLT18to64[[#This Row],[200 to 399% of FPL - Uninsured]]+UninsLT18to64[[#This Row],[400% FPL and over - Uninsured]])</f>
        <v>584</v>
      </c>
      <c r="Q117" s="83">
        <v>0.1246897464561337</v>
      </c>
      <c r="R11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584</v>
      </c>
      <c r="S117" s="70">
        <f>IF(UninsLT18to64[[#This Row],[Total]]&lt;1000,UninsLT18to64[[#This Row],[Total]],MAX(VLOOKUP(UninsLT18to64[[#This Row],[ZIP Code]],IRSzipToCntyTbl[#All],3,0),(UninsLT18to64[[#This Row],[Total]]-(109811*(VLOOKUP(UninsLT18to64[[#This Row],[ZIP Code]],CitizenshipTbl[#All],4,0))))*0.8))</f>
        <v>584</v>
      </c>
      <c r="V117" s="71"/>
    </row>
    <row r="118" spans="1:22" x14ac:dyDescent="0.3">
      <c r="A118" s="62">
        <v>21090</v>
      </c>
      <c r="B118" s="63" t="str">
        <f>VLOOKUP(A118,ZipToCntyTbl[#All],2,0)</f>
        <v>Linthicum Heights</v>
      </c>
      <c r="C118" s="63" t="str">
        <f>VLOOKUP(A118,ZipToCntyTbl[#All],3,0)</f>
        <v>Anne Arundel</v>
      </c>
      <c r="D118" s="63">
        <v>105</v>
      </c>
      <c r="E118" s="93">
        <f>UninsLT18to64[[#This Row],[Alternate Adj. Total]]*(UninsLT18to64[[#This Row],[Below 138% of FPL - Uninsured]]/UninsLT18to64[[#This Row],[Total]])</f>
        <v>105</v>
      </c>
      <c r="F118" s="96">
        <v>127</v>
      </c>
      <c r="G118" s="63">
        <v>118</v>
      </c>
      <c r="H118" s="93">
        <f>UninsLT18to64[[#This Row],[Alternate Adj. Total]]*(UninsLT18to64[[#This Row],[138 to 199% of FPL - Uninsured]]/UninsLT18to64[[#This Row],[Total]])</f>
        <v>118</v>
      </c>
      <c r="I118" s="96">
        <v>92</v>
      </c>
      <c r="J118" s="63">
        <v>32</v>
      </c>
      <c r="K118" s="93">
        <f>UninsLT18to64[[#This Row],[Alternate Adj. Total]]*(UninsLT18to64[[#This Row],[200 to 399% of FPL - Uninsured]]/UninsLT18to64[[#This Row],[Total]])</f>
        <v>31.999999999999996</v>
      </c>
      <c r="L118" s="96">
        <v>71</v>
      </c>
      <c r="M118" s="63">
        <v>314</v>
      </c>
      <c r="N118" s="93">
        <f>UninsLT18to64[[#This Row],[Alternate Adj. Total]]*(UninsLT18to64[[#This Row],[400% FPL and over - Uninsured]]/UninsLT18to64[[#This Row],[Total]])</f>
        <v>314</v>
      </c>
      <c r="O118" s="96">
        <v>148</v>
      </c>
      <c r="P118" s="64">
        <f>SUM(UninsLT18to64[[#This Row],[Below 138% of FPL - Uninsured]]+UninsLT18to64[[#This Row],[138 to 199% of FPL - Uninsured]]+UninsLT18to64[[#This Row],[200 to 399% of FPL - Uninsured]]+UninsLT18to64[[#This Row],[400% FPL and over - Uninsured]])</f>
        <v>569</v>
      </c>
      <c r="Q118" s="83">
        <v>0.12797682237325497</v>
      </c>
      <c r="R11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569</v>
      </c>
      <c r="S118" s="70">
        <f>IF(UninsLT18to64[[#This Row],[Total]]&lt;1000,UninsLT18to64[[#This Row],[Total]],MAX(VLOOKUP(UninsLT18to64[[#This Row],[ZIP Code]],IRSzipToCntyTbl[#All],3,0),(UninsLT18to64[[#This Row],[Total]]-(109811*(VLOOKUP(UninsLT18to64[[#This Row],[ZIP Code]],CitizenshipTbl[#All],4,0))))*0.8))</f>
        <v>569</v>
      </c>
      <c r="V118" s="71"/>
    </row>
    <row r="119" spans="1:22" x14ac:dyDescent="0.3">
      <c r="A119" s="62">
        <v>21093</v>
      </c>
      <c r="B119" s="63" t="str">
        <f>VLOOKUP(A119,ZipToCntyTbl[#All],2,0)</f>
        <v>Lutherville Timonium</v>
      </c>
      <c r="C119" s="63" t="str">
        <f>VLOOKUP(A119,ZipToCntyTbl[#All],3,0)</f>
        <v>Baltimore</v>
      </c>
      <c r="D119" s="63">
        <v>245</v>
      </c>
      <c r="E119" s="93">
        <f>UninsLT18to64[[#This Row],[Alternate Adj. Total]]*(UninsLT18to64[[#This Row],[Below 138% of FPL - Uninsured]]/UninsLT18to64[[#This Row],[Total]])</f>
        <v>176.3947913349661</v>
      </c>
      <c r="F119" s="96">
        <v>190</v>
      </c>
      <c r="G119" s="63">
        <v>150</v>
      </c>
      <c r="H119" s="93">
        <f>UninsLT18to64[[#This Row],[Alternate Adj. Total]]*(UninsLT18to64[[#This Row],[138 to 199% of FPL - Uninsured]]/UninsLT18to64[[#This Row],[Total]])</f>
        <v>107.99681102140782</v>
      </c>
      <c r="I119" s="96">
        <v>121</v>
      </c>
      <c r="J119" s="63">
        <v>337</v>
      </c>
      <c r="K119" s="93">
        <f>UninsLT18to64[[#This Row],[Alternate Adj. Total]]*(UninsLT18to64[[#This Row],[200 to 399% of FPL - Uninsured]]/UninsLT18to64[[#This Row],[Total]])</f>
        <v>242.63283542809623</v>
      </c>
      <c r="L119" s="96">
        <v>245</v>
      </c>
      <c r="M119" s="63">
        <v>306</v>
      </c>
      <c r="N119" s="93">
        <f>UninsLT18to64[[#This Row],[Alternate Adj. Total]]*(UninsLT18to64[[#This Row],[400% FPL and over - Uninsured]]/UninsLT18to64[[#This Row],[Total]])</f>
        <v>220.31349448367195</v>
      </c>
      <c r="O119" s="96">
        <v>147</v>
      </c>
      <c r="P119" s="64">
        <f>SUM(UninsLT18to64[[#This Row],[Below 138% of FPL - Uninsured]]+UninsLT18to64[[#This Row],[138 to 199% of FPL - Uninsured]]+UninsLT18to64[[#This Row],[200 to 399% of FPL - Uninsured]]+UninsLT18to64[[#This Row],[400% FPL and over - Uninsured]])</f>
        <v>1038</v>
      </c>
      <c r="Q119" s="83">
        <v>7.0152998006148437E-2</v>
      </c>
      <c r="R11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712</v>
      </c>
      <c r="S119" s="70">
        <f>IF(UninsLT18to64[[#This Row],[Total]]&lt;1000,UninsLT18to64[[#This Row],[Total]],MAX(VLOOKUP(UninsLT18to64[[#This Row],[ZIP Code]],IRSzipToCntyTbl[#All],3,0),(UninsLT18to64[[#This Row],[Total]]-(109811*(VLOOKUP(UninsLT18to64[[#This Row],[ZIP Code]],CitizenshipTbl[#All],4,0))))*0.8))</f>
        <v>747.33793226814203</v>
      </c>
      <c r="V119" s="71"/>
    </row>
    <row r="120" spans="1:22" x14ac:dyDescent="0.3">
      <c r="A120" s="62">
        <v>21108</v>
      </c>
      <c r="B120" s="63" t="str">
        <f>VLOOKUP(A120,ZipToCntyTbl[#All],2,0)</f>
        <v>Millersville</v>
      </c>
      <c r="C120" s="63" t="str">
        <f>VLOOKUP(A120,ZipToCntyTbl[#All],3,0)</f>
        <v>Anne Arundel</v>
      </c>
      <c r="D120" s="63">
        <v>157</v>
      </c>
      <c r="E120" s="93">
        <f>UninsLT18to64[[#This Row],[Alternate Adj. Total]]*(UninsLT18to64[[#This Row],[Below 138% of FPL - Uninsured]]/UninsLT18to64[[#This Row],[Total]])</f>
        <v>157</v>
      </c>
      <c r="F120" s="96">
        <v>247</v>
      </c>
      <c r="G120" s="63">
        <v>17</v>
      </c>
      <c r="H120" s="93">
        <f>UninsLT18to64[[#This Row],[Alternate Adj. Total]]*(UninsLT18to64[[#This Row],[138 to 199% of FPL - Uninsured]]/UninsLT18to64[[#This Row],[Total]])</f>
        <v>17</v>
      </c>
      <c r="I120" s="96">
        <v>45</v>
      </c>
      <c r="J120" s="63">
        <v>246</v>
      </c>
      <c r="K120" s="93">
        <f>UninsLT18to64[[#This Row],[Alternate Adj. Total]]*(UninsLT18to64[[#This Row],[200 to 399% of FPL - Uninsured]]/UninsLT18to64[[#This Row],[Total]])</f>
        <v>246</v>
      </c>
      <c r="L120" s="96">
        <v>199</v>
      </c>
      <c r="M120" s="63">
        <v>258</v>
      </c>
      <c r="N120" s="93">
        <f>UninsLT18to64[[#This Row],[Alternate Adj. Total]]*(UninsLT18to64[[#This Row],[400% FPL and over - Uninsured]]/UninsLT18to64[[#This Row],[Total]])</f>
        <v>258</v>
      </c>
      <c r="O120" s="96">
        <v>186</v>
      </c>
      <c r="P120" s="64">
        <f>SUM(UninsLT18to64[[#This Row],[Below 138% of FPL - Uninsured]]+UninsLT18to64[[#This Row],[138 to 199% of FPL - Uninsured]]+UninsLT18to64[[#This Row],[200 to 399% of FPL - Uninsured]]+UninsLT18to64[[#This Row],[400% FPL and over - Uninsured]])</f>
        <v>678</v>
      </c>
      <c r="Q120" s="83">
        <v>0.10740237747843966</v>
      </c>
      <c r="R12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678</v>
      </c>
      <c r="S120" s="70">
        <f>IF(UninsLT18to64[[#This Row],[Total]]&lt;1000,UninsLT18to64[[#This Row],[Total]],MAX(VLOOKUP(UninsLT18to64[[#This Row],[ZIP Code]],IRSzipToCntyTbl[#All],3,0),(UninsLT18to64[[#This Row],[Total]]-(109811*(VLOOKUP(UninsLT18to64[[#This Row],[ZIP Code]],CitizenshipTbl[#All],4,0))))*0.8))</f>
        <v>678</v>
      </c>
      <c r="V120" s="71"/>
    </row>
    <row r="121" spans="1:22" x14ac:dyDescent="0.3">
      <c r="A121" s="62">
        <v>21113</v>
      </c>
      <c r="B121" s="63" t="str">
        <f>VLOOKUP(A121,ZipToCntyTbl[#All],2,0)</f>
        <v>Odenton</v>
      </c>
      <c r="C121" s="63" t="str">
        <f>VLOOKUP(A121,ZipToCntyTbl[#All],3,0)</f>
        <v>Anne Arundel</v>
      </c>
      <c r="D121" s="63">
        <v>590</v>
      </c>
      <c r="E121" s="93">
        <f>UninsLT18to64[[#This Row],[Alternate Adj. Total]]*(UninsLT18to64[[#This Row],[Below 138% of FPL - Uninsured]]/UninsLT18to64[[#This Row],[Total]])</f>
        <v>382.89164121928604</v>
      </c>
      <c r="F121" s="96">
        <v>522</v>
      </c>
      <c r="G121" s="63">
        <v>72</v>
      </c>
      <c r="H121" s="93">
        <f>UninsLT18to64[[#This Row],[Alternate Adj. Total]]*(UninsLT18to64[[#This Row],[138 to 199% of FPL - Uninsured]]/UninsLT18to64[[#This Row],[Total]])</f>
        <v>46.725759606421342</v>
      </c>
      <c r="I121" s="96">
        <v>113</v>
      </c>
      <c r="J121" s="63">
        <v>403</v>
      </c>
      <c r="K121" s="93">
        <f>UninsLT18to64[[#This Row],[Alternate Adj. Total]]*(UninsLT18to64[[#This Row],[200 to 399% of FPL - Uninsured]]/UninsLT18to64[[#This Row],[Total]])</f>
        <v>261.534460019275</v>
      </c>
      <c r="L121" s="96">
        <v>230</v>
      </c>
      <c r="M121" s="63">
        <v>492</v>
      </c>
      <c r="N121" s="93">
        <f>UninsLT18to64[[#This Row],[Alternate Adj. Total]]*(UninsLT18to64[[#This Row],[400% FPL and over - Uninsured]]/UninsLT18to64[[#This Row],[Total]])</f>
        <v>319.29269064387921</v>
      </c>
      <c r="O121" s="96">
        <v>291</v>
      </c>
      <c r="P121" s="64">
        <f>SUM(UninsLT18to64[[#This Row],[Below 138% of FPL - Uninsured]]+UninsLT18to64[[#This Row],[138 to 199% of FPL - Uninsured]]+UninsLT18to64[[#This Row],[200 to 399% of FPL - Uninsured]]+UninsLT18to64[[#This Row],[400% FPL and over - Uninsured]])</f>
        <v>1557</v>
      </c>
      <c r="Q121" s="83">
        <v>4.6768665337432291E-2</v>
      </c>
      <c r="R12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910.40000000000009</v>
      </c>
      <c r="S121" s="70">
        <f>IF(UninsLT18to64[[#This Row],[Total]]&lt;1000,UninsLT18to64[[#This Row],[Total]],MAX(VLOOKUP(UninsLT18to64[[#This Row],[ZIP Code]],IRSzipToCntyTbl[#All],3,0),(UninsLT18to64[[#This Row],[Total]]-(109811*(VLOOKUP(UninsLT18to64[[#This Row],[ZIP Code]],CitizenshipTbl[#All],4,0))))*0.8))</f>
        <v>1010.4445514888616</v>
      </c>
      <c r="V121" s="71"/>
    </row>
    <row r="122" spans="1:22" x14ac:dyDescent="0.3">
      <c r="A122" s="62">
        <v>21114</v>
      </c>
      <c r="B122" s="63" t="str">
        <f>VLOOKUP(A122,ZipToCntyTbl[#All],2,0)</f>
        <v>Crofton</v>
      </c>
      <c r="C122" s="63" t="str">
        <f>VLOOKUP(A122,ZipToCntyTbl[#All],3,0)</f>
        <v>Anne Arundel</v>
      </c>
      <c r="D122" s="63">
        <v>136</v>
      </c>
      <c r="E122" s="93">
        <f>UninsLT18to64[[#This Row],[Alternate Adj. Total]]*(UninsLT18to64[[#This Row],[Below 138% of FPL - Uninsured]]/UninsLT18to64[[#This Row],[Total]])</f>
        <v>136</v>
      </c>
      <c r="F122" s="96">
        <v>148</v>
      </c>
      <c r="G122" s="63">
        <v>20</v>
      </c>
      <c r="H122" s="93">
        <f>UninsLT18to64[[#This Row],[Alternate Adj. Total]]*(UninsLT18to64[[#This Row],[138 to 199% of FPL - Uninsured]]/UninsLT18to64[[#This Row],[Total]])</f>
        <v>20</v>
      </c>
      <c r="I122" s="96">
        <v>53</v>
      </c>
      <c r="J122" s="63">
        <v>134</v>
      </c>
      <c r="K122" s="93">
        <f>UninsLT18to64[[#This Row],[Alternate Adj. Total]]*(UninsLT18to64[[#This Row],[200 to 399% of FPL - Uninsured]]/UninsLT18to64[[#This Row],[Total]])</f>
        <v>134</v>
      </c>
      <c r="L122" s="96">
        <v>112</v>
      </c>
      <c r="M122" s="63">
        <v>428</v>
      </c>
      <c r="N122" s="93">
        <f>UninsLT18to64[[#This Row],[Alternate Adj. Total]]*(UninsLT18to64[[#This Row],[400% FPL and over - Uninsured]]/UninsLT18to64[[#This Row],[Total]])</f>
        <v>428</v>
      </c>
      <c r="O122" s="96">
        <v>276</v>
      </c>
      <c r="P122" s="64">
        <f>SUM(UninsLT18to64[[#This Row],[Below 138% of FPL - Uninsured]]+UninsLT18to64[[#This Row],[138 to 199% of FPL - Uninsured]]+UninsLT18to64[[#This Row],[200 to 399% of FPL - Uninsured]]+UninsLT18to64[[#This Row],[400% FPL and over - Uninsured]])</f>
        <v>718</v>
      </c>
      <c r="Q122" s="83">
        <v>0.10141895812030931</v>
      </c>
      <c r="R12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718</v>
      </c>
      <c r="S122" s="70">
        <f>IF(UninsLT18to64[[#This Row],[Total]]&lt;1000,UninsLT18to64[[#This Row],[Total]],MAX(VLOOKUP(UninsLT18to64[[#This Row],[ZIP Code]],IRSzipToCntyTbl[#All],3,0),(UninsLT18to64[[#This Row],[Total]]-(109811*(VLOOKUP(UninsLT18to64[[#This Row],[ZIP Code]],CitizenshipTbl[#All],4,0))))*0.8))</f>
        <v>718</v>
      </c>
      <c r="V122" s="71"/>
    </row>
    <row r="123" spans="1:22" x14ac:dyDescent="0.3">
      <c r="A123" s="62">
        <v>21117</v>
      </c>
      <c r="B123" s="63" t="str">
        <f>VLOOKUP(A123,ZipToCntyTbl[#All],2,0)</f>
        <v>Owings Mills</v>
      </c>
      <c r="C123" s="63" t="str">
        <f>VLOOKUP(A123,ZipToCntyTbl[#All],3,0)</f>
        <v>Baltimore</v>
      </c>
      <c r="D123" s="63">
        <v>1159</v>
      </c>
      <c r="E123" s="93">
        <f>UninsLT18to64[[#This Row],[Alternate Adj. Total]]*(UninsLT18to64[[#This Row],[Below 138% of FPL - Uninsured]]/UninsLT18to64[[#This Row],[Total]])</f>
        <v>602.18494492355023</v>
      </c>
      <c r="F123" s="96">
        <v>726</v>
      </c>
      <c r="G123" s="63">
        <v>648</v>
      </c>
      <c r="H123" s="93">
        <f>UninsLT18to64[[#This Row],[Alternate Adj. Total]]*(UninsLT18to64[[#This Row],[138 to 199% of FPL - Uninsured]]/UninsLT18to64[[#This Row],[Total]])</f>
        <v>336.68321338262342</v>
      </c>
      <c r="I123" s="96">
        <v>293</v>
      </c>
      <c r="J123" s="63">
        <v>2005</v>
      </c>
      <c r="K123" s="93">
        <f>UninsLT18to64[[#This Row],[Alternate Adj. Total]]*(UninsLT18to64[[#This Row],[200 to 399% of FPL - Uninsured]]/UninsLT18to64[[#This Row],[Total]])</f>
        <v>1041.7435846175308</v>
      </c>
      <c r="L123" s="96">
        <v>726</v>
      </c>
      <c r="M123" s="63">
        <v>667</v>
      </c>
      <c r="N123" s="93">
        <f>UninsLT18to64[[#This Row],[Alternate Adj. Total]]*(UninsLT18to64[[#This Row],[400% FPL and over - Uninsured]]/UninsLT18to64[[#This Row],[Total]])</f>
        <v>346.55509772563238</v>
      </c>
      <c r="O123" s="96">
        <v>292</v>
      </c>
      <c r="P123" s="64">
        <f>SUM(UninsLT18to64[[#This Row],[Below 138% of FPL - Uninsured]]+UninsLT18to64[[#This Row],[138 to 199% of FPL - Uninsured]]+UninsLT18to64[[#This Row],[200 to 399% of FPL - Uninsured]]+UninsLT18to64[[#This Row],[400% FPL and over - Uninsured]])</f>
        <v>4479</v>
      </c>
      <c r="Q123" s="83">
        <v>1.6257828071083297E-2</v>
      </c>
      <c r="R12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1792.8000000000002</v>
      </c>
      <c r="S123" s="70">
        <f>IF(UninsLT18to64[[#This Row],[Total]]&lt;1000,UninsLT18to64[[#This Row],[Total]],MAX(VLOOKUP(UninsLT18to64[[#This Row],[ZIP Code]],IRSzipToCntyTbl[#All],3,0),(UninsLT18to64[[#This Row],[Total]]-(109811*(VLOOKUP(UninsLT18to64[[#This Row],[ZIP Code]],CitizenshipTbl[#All],4,0))))*0.8))</f>
        <v>2327.1668406493368</v>
      </c>
      <c r="V123" s="71"/>
    </row>
    <row r="124" spans="1:22" x14ac:dyDescent="0.3">
      <c r="A124" s="62">
        <v>21122</v>
      </c>
      <c r="B124" s="63" t="str">
        <f>VLOOKUP(A124,ZipToCntyTbl[#All],2,0)</f>
        <v>Pasadena</v>
      </c>
      <c r="C124" s="63" t="str">
        <f>VLOOKUP(A124,ZipToCntyTbl[#All],3,0)</f>
        <v>Anne Arundel</v>
      </c>
      <c r="D124" s="63">
        <v>577</v>
      </c>
      <c r="E124" s="93">
        <f>UninsLT18to64[[#This Row],[Alternate Adj. Total]]*(UninsLT18to64[[#This Row],[Below 138% of FPL - Uninsured]]/UninsLT18to64[[#This Row],[Total]])</f>
        <v>446.85407425570816</v>
      </c>
      <c r="F124" s="96">
        <v>440</v>
      </c>
      <c r="G124" s="63">
        <v>317</v>
      </c>
      <c r="H124" s="93">
        <f>UninsLT18to64[[#This Row],[Alternate Adj. Total]]*(UninsLT18to64[[#This Row],[138 to 199% of FPL - Uninsured]]/UninsLT18to64[[#This Row],[Total]])</f>
        <v>245.49868550963518</v>
      </c>
      <c r="I124" s="96">
        <v>221</v>
      </c>
      <c r="J124" s="63">
        <v>742</v>
      </c>
      <c r="K124" s="93">
        <f>UninsLT18to64[[#This Row],[Alternate Adj. Total]]*(UninsLT18to64[[#This Row],[200 to 399% of FPL - Uninsured]]/UninsLT18to64[[#This Row],[Total]])</f>
        <v>574.63730172917758</v>
      </c>
      <c r="L124" s="96">
        <v>405</v>
      </c>
      <c r="M124" s="63">
        <v>1153</v>
      </c>
      <c r="N124" s="93">
        <f>UninsLT18to64[[#This Row],[Alternate Adj. Total]]*(UninsLT18to64[[#This Row],[400% FPL and over - Uninsured]]/UninsLT18to64[[#This Row],[Total]])</f>
        <v>892.93370470854688</v>
      </c>
      <c r="O124" s="96">
        <v>337</v>
      </c>
      <c r="P124" s="64">
        <f>SUM(UninsLT18to64[[#This Row],[Below 138% of FPL - Uninsured]]+UninsLT18to64[[#This Row],[138 to 199% of FPL - Uninsured]]+UninsLT18to64[[#This Row],[200 to 399% of FPL - Uninsured]]+UninsLT18to64[[#This Row],[400% FPL and over - Uninsured]])</f>
        <v>2789</v>
      </c>
      <c r="Q124" s="83">
        <v>2.6109290760266076E-2</v>
      </c>
      <c r="R12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2129.6</v>
      </c>
      <c r="S124" s="70">
        <f>IF(UninsLT18to64[[#This Row],[Total]]&lt;1000,UninsLT18to64[[#This Row],[Total]],MAX(VLOOKUP(UninsLT18to64[[#This Row],[ZIP Code]],IRSzipToCntyTbl[#All],3,0),(UninsLT18to64[[#This Row],[Total]]-(109811*(VLOOKUP(UninsLT18to64[[#This Row],[ZIP Code]],CitizenshipTbl[#All],4,0))))*0.8))</f>
        <v>2159.9237662030678</v>
      </c>
      <c r="V124" s="71"/>
    </row>
    <row r="125" spans="1:22" x14ac:dyDescent="0.3">
      <c r="A125" s="62">
        <v>21133</v>
      </c>
      <c r="B125" s="63" t="str">
        <f>VLOOKUP(A125,ZipToCntyTbl[#All],2,0)</f>
        <v>Randallstown</v>
      </c>
      <c r="C125" s="63" t="str">
        <f>VLOOKUP(A125,ZipToCntyTbl[#All],3,0)</f>
        <v>Baltimore</v>
      </c>
      <c r="D125" s="63">
        <v>329</v>
      </c>
      <c r="E125" s="93">
        <f>UninsLT18to64[[#This Row],[Alternate Adj. Total]]*(UninsLT18to64[[#This Row],[Below 138% of FPL - Uninsured]]/UninsLT18to64[[#This Row],[Total]])</f>
        <v>234.32358297189828</v>
      </c>
      <c r="F125" s="96">
        <v>232</v>
      </c>
      <c r="G125" s="63">
        <v>233</v>
      </c>
      <c r="H125" s="93">
        <f>UninsLT18to64[[#This Row],[Alternate Adj. Total]]*(UninsLT18to64[[#This Row],[138 to 199% of FPL - Uninsured]]/UninsLT18to64[[#This Row],[Total]])</f>
        <v>165.9495283661164</v>
      </c>
      <c r="I125" s="96">
        <v>160</v>
      </c>
      <c r="J125" s="63">
        <v>604</v>
      </c>
      <c r="K125" s="93">
        <f>UninsLT18to64[[#This Row],[Alternate Adj. Total]]*(UninsLT18to64[[#This Row],[200 to 399% of FPL - Uninsured]]/UninsLT18to64[[#This Row],[Total]])</f>
        <v>430.18676022804425</v>
      </c>
      <c r="L125" s="96">
        <v>265</v>
      </c>
      <c r="M125" s="63">
        <v>407</v>
      </c>
      <c r="N125" s="93">
        <f>UninsLT18to64[[#This Row],[Alternate Adj. Total]]*(UninsLT18to64[[#This Row],[400% FPL and over - Uninsured]]/UninsLT18to64[[#This Row],[Total]])</f>
        <v>289.87750233909605</v>
      </c>
      <c r="O125" s="96">
        <v>260</v>
      </c>
      <c r="P125" s="64">
        <f>SUM(UninsLT18to64[[#This Row],[Below 138% of FPL - Uninsured]]+UninsLT18to64[[#This Row],[138 to 199% of FPL - Uninsured]]+UninsLT18to64[[#This Row],[200 to 399% of FPL - Uninsured]]+UninsLT18to64[[#This Row],[400% FPL and over - Uninsured]])</f>
        <v>1573</v>
      </c>
      <c r="Q125" s="83">
        <v>4.6292951004692995E-2</v>
      </c>
      <c r="R12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1061.6000000000001</v>
      </c>
      <c r="S125" s="70">
        <f>IF(UninsLT18to64[[#This Row],[Total]]&lt;1000,UninsLT18to64[[#This Row],[Total]],MAX(VLOOKUP(UninsLT18to64[[#This Row],[ZIP Code]],IRSzipToCntyTbl[#All],3,0),(UninsLT18to64[[#This Row],[Total]]-(109811*(VLOOKUP(UninsLT18to64[[#This Row],[ZIP Code]],CitizenshipTbl[#All],4,0))))*0.8))</f>
        <v>1120.3373739051549</v>
      </c>
      <c r="V125" s="71"/>
    </row>
    <row r="126" spans="1:22" x14ac:dyDescent="0.3">
      <c r="A126" s="62">
        <v>21136</v>
      </c>
      <c r="B126" s="63" t="str">
        <f>VLOOKUP(A126,ZipToCntyTbl[#All],2,0)</f>
        <v>Reisterstown</v>
      </c>
      <c r="C126" s="63" t="str">
        <f>VLOOKUP(A126,ZipToCntyTbl[#All],3,0)</f>
        <v>Baltimore</v>
      </c>
      <c r="D126" s="63">
        <v>927</v>
      </c>
      <c r="E126" s="93">
        <f>UninsLT18to64[[#This Row],[Alternate Adj. Total]]*(UninsLT18to64[[#This Row],[Below 138% of FPL - Uninsured]]/UninsLT18to64[[#This Row],[Total]])</f>
        <v>550.0042894871176</v>
      </c>
      <c r="F126" s="96">
        <v>646</v>
      </c>
      <c r="G126" s="63">
        <v>437</v>
      </c>
      <c r="H126" s="93">
        <f>UninsLT18to64[[#This Row],[Alternate Adj. Total]]*(UninsLT18to64[[#This Row],[138 to 199% of FPL - Uninsured]]/UninsLT18to64[[#This Row],[Total]])</f>
        <v>259.27926052413198</v>
      </c>
      <c r="I126" s="96">
        <v>373</v>
      </c>
      <c r="J126" s="63">
        <v>835</v>
      </c>
      <c r="K126" s="93">
        <f>UninsLT18to64[[#This Row],[Alternate Adj. Total]]*(UninsLT18to64[[#This Row],[200 to 399% of FPL - Uninsured]]/UninsLT18to64[[#This Row],[Total]])</f>
        <v>495.41918200835295</v>
      </c>
      <c r="L126" s="96">
        <v>322</v>
      </c>
      <c r="M126" s="63">
        <v>568</v>
      </c>
      <c r="N126" s="93">
        <f>UninsLT18to64[[#This Row],[Alternate Adj. Total]]*(UninsLT18to64[[#This Row],[400% FPL and over - Uninsured]]/UninsLT18to64[[#This Row],[Total]])</f>
        <v>337.00370704280772</v>
      </c>
      <c r="O126" s="96">
        <v>326</v>
      </c>
      <c r="P126" s="64">
        <f>SUM(UninsLT18to64[[#This Row],[Below 138% of FPL - Uninsured]]+UninsLT18to64[[#This Row],[138 to 199% of FPL - Uninsured]]+UninsLT18to64[[#This Row],[200 to 399% of FPL - Uninsured]]+UninsLT18to64[[#This Row],[400% FPL and over - Uninsured]])</f>
        <v>2767</v>
      </c>
      <c r="Q126" s="83">
        <v>2.6316881796307222E-2</v>
      </c>
      <c r="R12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1398.4</v>
      </c>
      <c r="S126" s="70">
        <f>IF(UninsLT18to64[[#This Row],[Total]]&lt;1000,UninsLT18to64[[#This Row],[Total]],MAX(VLOOKUP(UninsLT18to64[[#This Row],[ZIP Code]],IRSzipToCntyTbl[#All],3,0),(UninsLT18to64[[#This Row],[Total]]-(109811*(VLOOKUP(UninsLT18to64[[#This Row],[ZIP Code]],CitizenshipTbl[#All],4,0))))*0.8))</f>
        <v>1641.7064390624103</v>
      </c>
      <c r="V126" s="71"/>
    </row>
    <row r="127" spans="1:22" x14ac:dyDescent="0.3">
      <c r="A127" s="62">
        <v>21144</v>
      </c>
      <c r="B127" s="63" t="str">
        <f>VLOOKUP(A127,ZipToCntyTbl[#All],2,0)</f>
        <v>Severn</v>
      </c>
      <c r="C127" s="63" t="str">
        <f>VLOOKUP(A127,ZipToCntyTbl[#All],3,0)</f>
        <v>Anne Arundel</v>
      </c>
      <c r="D127" s="63">
        <v>606</v>
      </c>
      <c r="E127" s="93">
        <f>UninsLT18to64[[#This Row],[Alternate Adj. Total]]*(UninsLT18to64[[#This Row],[Below 138% of FPL - Uninsured]]/UninsLT18to64[[#This Row],[Total]])</f>
        <v>393.89329798550966</v>
      </c>
      <c r="F127" s="96">
        <v>456</v>
      </c>
      <c r="G127" s="63">
        <v>375</v>
      </c>
      <c r="H127" s="93">
        <f>UninsLT18to64[[#This Row],[Alternate Adj. Total]]*(UninsLT18to64[[#This Row],[138 to 199% of FPL - Uninsured]]/UninsLT18to64[[#This Row],[Total]])</f>
        <v>243.74585271380545</v>
      </c>
      <c r="I127" s="96">
        <v>346</v>
      </c>
      <c r="J127" s="63">
        <v>508</v>
      </c>
      <c r="K127" s="93">
        <f>UninsLT18to64[[#This Row],[Alternate Adj. Total]]*(UninsLT18to64[[#This Row],[200 to 399% of FPL - Uninsured]]/UninsLT18to64[[#This Row],[Total]])</f>
        <v>330.1943818096351</v>
      </c>
      <c r="L127" s="96">
        <v>252</v>
      </c>
      <c r="M127" s="63">
        <v>651</v>
      </c>
      <c r="N127" s="93">
        <f>UninsLT18to64[[#This Row],[Alternate Adj. Total]]*(UninsLT18to64[[#This Row],[400% FPL and over - Uninsured]]/UninsLT18to64[[#This Row],[Total]])</f>
        <v>423.1428003111663</v>
      </c>
      <c r="O127" s="96">
        <v>331</v>
      </c>
      <c r="P127" s="64">
        <f>SUM(UninsLT18to64[[#This Row],[Below 138% of FPL - Uninsured]]+UninsLT18to64[[#This Row],[138 to 199% of FPL - Uninsured]]+UninsLT18to64[[#This Row],[200 to 399% of FPL - Uninsured]]+UninsLT18to64[[#This Row],[400% FPL and over - Uninsured]])</f>
        <v>2140</v>
      </c>
      <c r="Q127" s="83">
        <v>3.4027482210458919E-2</v>
      </c>
      <c r="R12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1254.4000000000001</v>
      </c>
      <c r="S127" s="70">
        <f>IF(UninsLT18to64[[#This Row],[Total]]&lt;1000,UninsLT18to64[[#This Row],[Total]],MAX(VLOOKUP(UninsLT18to64[[#This Row],[ZIP Code]],IRSzipToCntyTbl[#All],3,0),(UninsLT18to64[[#This Row],[Total]]-(109811*(VLOOKUP(UninsLT18to64[[#This Row],[ZIP Code]],CitizenshipTbl[#All],4,0))))*0.8))</f>
        <v>1390.9763328201166</v>
      </c>
      <c r="V127" s="71"/>
    </row>
    <row r="128" spans="1:22" x14ac:dyDescent="0.3">
      <c r="A128" s="62">
        <v>21146</v>
      </c>
      <c r="B128" s="63" t="str">
        <f>VLOOKUP(A128,ZipToCntyTbl[#All],2,0)</f>
        <v>Severna Park</v>
      </c>
      <c r="C128" s="63" t="str">
        <f>VLOOKUP(A128,ZipToCntyTbl[#All],3,0)</f>
        <v>Anne Arundel</v>
      </c>
      <c r="D128" s="63">
        <v>33</v>
      </c>
      <c r="E128" s="93">
        <f>UninsLT18to64[[#This Row],[Alternate Adj. Total]]*(UninsLT18to64[[#This Row],[Below 138% of FPL - Uninsured]]/UninsLT18to64[[#This Row],[Total]])</f>
        <v>33</v>
      </c>
      <c r="F128" s="96">
        <v>114</v>
      </c>
      <c r="G128" s="63">
        <v>5</v>
      </c>
      <c r="H128" s="93">
        <f>UninsLT18to64[[#This Row],[Alternate Adj. Total]]*(UninsLT18to64[[#This Row],[138 to 199% of FPL - Uninsured]]/UninsLT18to64[[#This Row],[Total]])</f>
        <v>5</v>
      </c>
      <c r="I128" s="96">
        <v>29</v>
      </c>
      <c r="J128" s="63">
        <v>153</v>
      </c>
      <c r="K128" s="93">
        <f>UninsLT18to64[[#This Row],[Alternate Adj. Total]]*(UninsLT18to64[[#This Row],[200 to 399% of FPL - Uninsured]]/UninsLT18to64[[#This Row],[Total]])</f>
        <v>153</v>
      </c>
      <c r="L128" s="96">
        <v>152</v>
      </c>
      <c r="M128" s="63">
        <v>286</v>
      </c>
      <c r="N128" s="93">
        <f>UninsLT18to64[[#This Row],[Alternate Adj. Total]]*(UninsLT18to64[[#This Row],[400% FPL and over - Uninsured]]/UninsLT18to64[[#This Row],[Total]])</f>
        <v>286</v>
      </c>
      <c r="O128" s="96">
        <v>211</v>
      </c>
      <c r="P128" s="64">
        <f>SUM(UninsLT18to64[[#This Row],[Below 138% of FPL - Uninsured]]+UninsLT18to64[[#This Row],[138 to 199% of FPL - Uninsured]]+UninsLT18to64[[#This Row],[200 to 399% of FPL - Uninsured]]+UninsLT18to64[[#This Row],[400% FPL and over - Uninsured]])</f>
        <v>477</v>
      </c>
      <c r="Q128" s="83">
        <v>0.15265998308256201</v>
      </c>
      <c r="R12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477</v>
      </c>
      <c r="S128" s="70">
        <f>IF(UninsLT18to64[[#This Row],[Total]]&lt;1000,UninsLT18to64[[#This Row],[Total]],MAX(VLOOKUP(UninsLT18to64[[#This Row],[ZIP Code]],IRSzipToCntyTbl[#All],3,0),(UninsLT18to64[[#This Row],[Total]]-(109811*(VLOOKUP(UninsLT18to64[[#This Row],[ZIP Code]],CitizenshipTbl[#All],4,0))))*0.8))</f>
        <v>477</v>
      </c>
      <c r="V128" s="71"/>
    </row>
    <row r="129" spans="1:22" x14ac:dyDescent="0.3">
      <c r="A129" s="62">
        <v>21152</v>
      </c>
      <c r="B129" s="63" t="str">
        <f>VLOOKUP(A129,ZipToCntyTbl[#All],2,0)</f>
        <v>Sparks Glencoe</v>
      </c>
      <c r="C129" s="63" t="str">
        <f>VLOOKUP(A129,ZipToCntyTbl[#All],3,0)</f>
        <v>Baltimore</v>
      </c>
      <c r="D129" s="63">
        <v>25</v>
      </c>
      <c r="E129" s="93">
        <f>UninsLT18to64[[#This Row],[Alternate Adj. Total]]*(UninsLT18to64[[#This Row],[Below 138% of FPL - Uninsured]]/UninsLT18to64[[#This Row],[Total]])</f>
        <v>25</v>
      </c>
      <c r="F129" s="96">
        <v>82</v>
      </c>
      <c r="G129" s="63">
        <v>63</v>
      </c>
      <c r="H129" s="93">
        <f>UninsLT18to64[[#This Row],[Alternate Adj. Total]]*(UninsLT18to64[[#This Row],[138 to 199% of FPL - Uninsured]]/UninsLT18to64[[#This Row],[Total]])</f>
        <v>63</v>
      </c>
      <c r="I129" s="96">
        <v>83</v>
      </c>
      <c r="J129" s="63">
        <v>60</v>
      </c>
      <c r="K129" s="93">
        <f>UninsLT18to64[[#This Row],[Alternate Adj. Total]]*(UninsLT18to64[[#This Row],[200 to 399% of FPL - Uninsured]]/UninsLT18to64[[#This Row],[Total]])</f>
        <v>60</v>
      </c>
      <c r="L129" s="96">
        <v>70</v>
      </c>
      <c r="M129" s="63">
        <v>178</v>
      </c>
      <c r="N129" s="93">
        <f>UninsLT18to64[[#This Row],[Alternate Adj. Total]]*(UninsLT18to64[[#This Row],[400% FPL and over - Uninsured]]/UninsLT18to64[[#This Row],[Total]])</f>
        <v>178</v>
      </c>
      <c r="O129" s="96">
        <v>164</v>
      </c>
      <c r="P129" s="64">
        <f>SUM(UninsLT18to64[[#This Row],[Below 138% of FPL - Uninsured]]+UninsLT18to64[[#This Row],[138 to 199% of FPL - Uninsured]]+UninsLT18to64[[#This Row],[200 to 399% of FPL - Uninsured]]+UninsLT18to64[[#This Row],[400% FPL and over - Uninsured]])</f>
        <v>326</v>
      </c>
      <c r="Q129" s="83">
        <v>0.22337058874350332</v>
      </c>
      <c r="R12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326</v>
      </c>
      <c r="S129" s="70">
        <f>IF(UninsLT18to64[[#This Row],[Total]]&lt;1000,UninsLT18to64[[#This Row],[Total]],MAX(VLOOKUP(UninsLT18to64[[#This Row],[ZIP Code]],IRSzipToCntyTbl[#All],3,0),(UninsLT18to64[[#This Row],[Total]]-(109811*(VLOOKUP(UninsLT18to64[[#This Row],[ZIP Code]],CitizenshipTbl[#All],4,0))))*0.8))</f>
        <v>326</v>
      </c>
      <c r="V129" s="71"/>
    </row>
    <row r="130" spans="1:22" x14ac:dyDescent="0.3">
      <c r="A130" s="62">
        <v>21154</v>
      </c>
      <c r="B130" s="63" t="str">
        <f>VLOOKUP(A130,ZipToCntyTbl[#All],2,0)</f>
        <v>Street</v>
      </c>
      <c r="C130" s="63" t="str">
        <f>VLOOKUP(A130,ZipToCntyTbl[#All],3,0)</f>
        <v>Harford</v>
      </c>
      <c r="D130" s="63">
        <v>18</v>
      </c>
      <c r="E130" s="93">
        <f>UninsLT18to64[[#This Row],[Alternate Adj. Total]]*(UninsLT18to64[[#This Row],[Below 138% of FPL - Uninsured]]/UninsLT18to64[[#This Row],[Total]])</f>
        <v>18</v>
      </c>
      <c r="F130" s="96">
        <v>62</v>
      </c>
      <c r="G130" s="63">
        <v>37</v>
      </c>
      <c r="H130" s="93">
        <f>UninsLT18to64[[#This Row],[Alternate Adj. Total]]*(UninsLT18to64[[#This Row],[138 to 199% of FPL - Uninsured]]/UninsLT18to64[[#This Row],[Total]])</f>
        <v>37</v>
      </c>
      <c r="I130" s="96">
        <v>52</v>
      </c>
      <c r="J130" s="63">
        <v>98</v>
      </c>
      <c r="K130" s="93">
        <f>UninsLT18to64[[#This Row],[Alternate Adj. Total]]*(UninsLT18to64[[#This Row],[200 to 399% of FPL - Uninsured]]/UninsLT18to64[[#This Row],[Total]])</f>
        <v>98</v>
      </c>
      <c r="L130" s="96">
        <v>119</v>
      </c>
      <c r="M130" s="63">
        <v>97</v>
      </c>
      <c r="N130" s="93">
        <f>UninsLT18to64[[#This Row],[Alternate Adj. Total]]*(UninsLT18to64[[#This Row],[400% FPL and over - Uninsured]]/UninsLT18to64[[#This Row],[Total]])</f>
        <v>97</v>
      </c>
      <c r="O130" s="96">
        <v>89</v>
      </c>
      <c r="P130" s="64">
        <f>SUM(UninsLT18to64[[#This Row],[Below 138% of FPL - Uninsured]]+UninsLT18to64[[#This Row],[138 to 199% of FPL - Uninsured]]+UninsLT18to64[[#This Row],[200 to 399% of FPL - Uninsured]]+UninsLT18to64[[#This Row],[400% FPL and over - Uninsured]])</f>
        <v>250</v>
      </c>
      <c r="Q130" s="83">
        <v>0.29127524772152835</v>
      </c>
      <c r="R13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250</v>
      </c>
      <c r="S130" s="70">
        <f>IF(UninsLT18to64[[#This Row],[Total]]&lt;1000,UninsLT18to64[[#This Row],[Total]],MAX(VLOOKUP(UninsLT18to64[[#This Row],[ZIP Code]],IRSzipToCntyTbl[#All],3,0),(UninsLT18to64[[#This Row],[Total]]-(109811*(VLOOKUP(UninsLT18to64[[#This Row],[ZIP Code]],CitizenshipTbl[#All],4,0))))*0.8))</f>
        <v>250</v>
      </c>
      <c r="V130" s="71"/>
    </row>
    <row r="131" spans="1:22" x14ac:dyDescent="0.3">
      <c r="A131" s="62">
        <v>21157</v>
      </c>
      <c r="B131" s="63" t="str">
        <f>VLOOKUP(A131,ZipToCntyTbl[#All],2,0)</f>
        <v>Westminster</v>
      </c>
      <c r="C131" s="63" t="str">
        <f>VLOOKUP(A131,ZipToCntyTbl[#All],3,0)</f>
        <v>Carroll</v>
      </c>
      <c r="D131" s="63">
        <v>448</v>
      </c>
      <c r="E131" s="93">
        <f>UninsLT18to64[[#This Row],[Alternate Adj. Total]]*(UninsLT18to64[[#This Row],[Below 138% of FPL - Uninsured]]/UninsLT18to64[[#This Row],[Total]])</f>
        <v>318.88233808328755</v>
      </c>
      <c r="F131" s="96">
        <v>273</v>
      </c>
      <c r="G131" s="63">
        <v>211</v>
      </c>
      <c r="H131" s="93">
        <f>UninsLT18to64[[#This Row],[Alternate Adj. Total]]*(UninsLT18to64[[#This Row],[138 to 199% of FPL - Uninsured]]/UninsLT18to64[[#This Row],[Total]])</f>
        <v>150.18788690976265</v>
      </c>
      <c r="I131" s="96">
        <v>145</v>
      </c>
      <c r="J131" s="63">
        <v>603</v>
      </c>
      <c r="K131" s="93">
        <f>UninsLT18to64[[#This Row],[Alternate Adj. Total]]*(UninsLT18to64[[#This Row],[200 to 399% of FPL - Uninsured]]/UninsLT18to64[[#This Row],[Total]])</f>
        <v>429.20993273263923</v>
      </c>
      <c r="L131" s="96">
        <v>306</v>
      </c>
      <c r="M131" s="63">
        <v>265</v>
      </c>
      <c r="N131" s="93">
        <f>UninsLT18to64[[#This Row],[Alternate Adj. Total]]*(UninsLT18to64[[#This Row],[400% FPL and over - Uninsured]]/UninsLT18to64[[#This Row],[Total]])</f>
        <v>188.62459730373033</v>
      </c>
      <c r="O131" s="96">
        <v>150</v>
      </c>
      <c r="P131" s="64">
        <f>SUM(UninsLT18to64[[#This Row],[Below 138% of FPL - Uninsured]]+UninsLT18to64[[#This Row],[138 to 199% of FPL - Uninsured]]+UninsLT18to64[[#This Row],[200 to 399% of FPL - Uninsured]]+UninsLT18to64[[#This Row],[400% FPL and over - Uninsured]])</f>
        <v>1527</v>
      </c>
      <c r="Q131" s="83">
        <v>4.7687499626969276E-2</v>
      </c>
      <c r="R13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1029.6000000000001</v>
      </c>
      <c r="S131" s="70">
        <f>IF(UninsLT18to64[[#This Row],[Total]]&lt;1000,UninsLT18to64[[#This Row],[Total]],MAX(VLOOKUP(UninsLT18to64[[#This Row],[ZIP Code]],IRSzipToCntyTbl[#All],3,0),(UninsLT18to64[[#This Row],[Total]]-(109811*(VLOOKUP(UninsLT18to64[[#This Row],[ZIP Code]],CitizenshipTbl[#All],4,0))))*0.8))</f>
        <v>1086.9047550294197</v>
      </c>
      <c r="V131" s="71"/>
    </row>
    <row r="132" spans="1:22" x14ac:dyDescent="0.3">
      <c r="A132" s="62">
        <v>21158</v>
      </c>
      <c r="B132" s="63" t="str">
        <f>VLOOKUP(A132,ZipToCntyTbl[#All],2,0)</f>
        <v>Westminster</v>
      </c>
      <c r="C132" s="63" t="str">
        <f>VLOOKUP(A132,ZipToCntyTbl[#All],3,0)</f>
        <v>Carroll</v>
      </c>
      <c r="D132" s="63">
        <v>80</v>
      </c>
      <c r="E132" s="93">
        <f>UninsLT18to64[[#This Row],[Alternate Adj. Total]]*(UninsLT18to64[[#This Row],[Below 138% of FPL - Uninsured]]/UninsLT18to64[[#This Row],[Total]])</f>
        <v>80</v>
      </c>
      <c r="F132" s="96">
        <v>128</v>
      </c>
      <c r="G132" s="63">
        <v>150</v>
      </c>
      <c r="H132" s="93">
        <f>UninsLT18to64[[#This Row],[Alternate Adj. Total]]*(UninsLT18to64[[#This Row],[138 to 199% of FPL - Uninsured]]/UninsLT18to64[[#This Row],[Total]])</f>
        <v>150</v>
      </c>
      <c r="I132" s="96">
        <v>169</v>
      </c>
      <c r="J132" s="63">
        <v>304</v>
      </c>
      <c r="K132" s="93">
        <f>UninsLT18to64[[#This Row],[Alternate Adj. Total]]*(UninsLT18to64[[#This Row],[200 to 399% of FPL - Uninsured]]/UninsLT18to64[[#This Row],[Total]])</f>
        <v>304</v>
      </c>
      <c r="L132" s="96">
        <v>172</v>
      </c>
      <c r="M132" s="63">
        <v>220</v>
      </c>
      <c r="N132" s="93">
        <f>UninsLT18to64[[#This Row],[Alternate Adj. Total]]*(UninsLT18to64[[#This Row],[400% FPL and over - Uninsured]]/UninsLT18to64[[#This Row],[Total]])</f>
        <v>220</v>
      </c>
      <c r="O132" s="96">
        <v>129</v>
      </c>
      <c r="P132" s="64">
        <f>SUM(UninsLT18to64[[#This Row],[Below 138% of FPL - Uninsured]]+UninsLT18to64[[#This Row],[138 to 199% of FPL - Uninsured]]+UninsLT18to64[[#This Row],[200 to 399% of FPL - Uninsured]]+UninsLT18to64[[#This Row],[400% FPL and over - Uninsured]])</f>
        <v>754</v>
      </c>
      <c r="Q132" s="83">
        <v>9.65766736477216E-2</v>
      </c>
      <c r="R13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754</v>
      </c>
      <c r="S132" s="70">
        <f>IF(UninsLT18to64[[#This Row],[Total]]&lt;1000,UninsLT18to64[[#This Row],[Total]],MAX(VLOOKUP(UninsLT18to64[[#This Row],[ZIP Code]],IRSzipToCntyTbl[#All],3,0),(UninsLT18to64[[#This Row],[Total]]-(109811*(VLOOKUP(UninsLT18to64[[#This Row],[ZIP Code]],CitizenshipTbl[#All],4,0))))*0.8))</f>
        <v>754</v>
      </c>
      <c r="V132" s="71"/>
    </row>
    <row r="133" spans="1:22" x14ac:dyDescent="0.3">
      <c r="A133" s="62">
        <v>21163</v>
      </c>
      <c r="B133" s="63" t="str">
        <f>VLOOKUP(A133,ZipToCntyTbl[#All],2,0)</f>
        <v>Woodstock</v>
      </c>
      <c r="C133" s="63" t="str">
        <f>VLOOKUP(A133,ZipToCntyTbl[#All],3,0)</f>
        <v>Howard</v>
      </c>
      <c r="D133" s="63">
        <v>186</v>
      </c>
      <c r="E133" s="93">
        <f>UninsLT18to64[[#This Row],[Alternate Adj. Total]]*(UninsLT18to64[[#This Row],[Below 138% of FPL - Uninsured]]/UninsLT18to64[[#This Row],[Total]])</f>
        <v>186</v>
      </c>
      <c r="F133" s="96">
        <v>195</v>
      </c>
      <c r="G133" s="63">
        <v>0</v>
      </c>
      <c r="H133" s="93">
        <f>UninsLT18to64[[#This Row],[Alternate Adj. Total]]*(UninsLT18to64[[#This Row],[138 to 199% of FPL - Uninsured]]/UninsLT18to64[[#This Row],[Total]])</f>
        <v>0</v>
      </c>
      <c r="I133" s="96">
        <v>34</v>
      </c>
      <c r="J133" s="63">
        <v>214</v>
      </c>
      <c r="K133" s="93">
        <f>UninsLT18to64[[#This Row],[Alternate Adj. Total]]*(UninsLT18to64[[#This Row],[200 to 399% of FPL - Uninsured]]/UninsLT18to64[[#This Row],[Total]])</f>
        <v>214</v>
      </c>
      <c r="L133" s="96">
        <v>182</v>
      </c>
      <c r="M133" s="63">
        <v>58</v>
      </c>
      <c r="N133" s="93">
        <f>UninsLT18to64[[#This Row],[Alternate Adj. Total]]*(UninsLT18to64[[#This Row],[400% FPL and over - Uninsured]]/UninsLT18to64[[#This Row],[Total]])</f>
        <v>57.999999999999993</v>
      </c>
      <c r="O133" s="96">
        <v>75</v>
      </c>
      <c r="P133" s="64">
        <f>SUM(UninsLT18to64[[#This Row],[Below 138% of FPL - Uninsured]]+UninsLT18to64[[#This Row],[138 to 199% of FPL - Uninsured]]+UninsLT18to64[[#This Row],[200 to 399% of FPL - Uninsured]]+UninsLT18to64[[#This Row],[400% FPL and over - Uninsured]])</f>
        <v>458</v>
      </c>
      <c r="Q133" s="83">
        <v>0.15899303914930585</v>
      </c>
      <c r="R13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458</v>
      </c>
      <c r="S133" s="70">
        <f>IF(UninsLT18to64[[#This Row],[Total]]&lt;1000,UninsLT18to64[[#This Row],[Total]],MAX(VLOOKUP(UninsLT18to64[[#This Row],[ZIP Code]],IRSzipToCntyTbl[#All],3,0),(UninsLT18to64[[#This Row],[Total]]-(109811*(VLOOKUP(UninsLT18to64[[#This Row],[ZIP Code]],CitizenshipTbl[#All],4,0))))*0.8))</f>
        <v>458</v>
      </c>
      <c r="V133" s="71"/>
    </row>
    <row r="134" spans="1:22" x14ac:dyDescent="0.3">
      <c r="A134" s="62">
        <v>21201</v>
      </c>
      <c r="B134" s="63" t="str">
        <f>VLOOKUP(A134,ZipToCntyTbl[#All],2,0)</f>
        <v>Baltimore</v>
      </c>
      <c r="C134" s="63" t="str">
        <f>VLOOKUP(A134,ZipToCntyTbl[#All],3,0)</f>
        <v>Baltimore City</v>
      </c>
      <c r="D134" s="63">
        <v>366</v>
      </c>
      <c r="E134" s="93">
        <f>UninsLT18to64[[#This Row],[Alternate Adj. Total]]*(UninsLT18to64[[#This Row],[Below 138% of FPL - Uninsured]]/UninsLT18to64[[#This Row],[Total]])</f>
        <v>366</v>
      </c>
      <c r="F134" s="96">
        <v>221</v>
      </c>
      <c r="G134" s="63">
        <v>151</v>
      </c>
      <c r="H134" s="93">
        <f>UninsLT18to64[[#This Row],[Alternate Adj. Total]]*(UninsLT18to64[[#This Row],[138 to 199% of FPL - Uninsured]]/UninsLT18to64[[#This Row],[Total]])</f>
        <v>151</v>
      </c>
      <c r="I134" s="96">
        <v>109</v>
      </c>
      <c r="J134" s="63">
        <v>145</v>
      </c>
      <c r="K134" s="93">
        <f>UninsLT18to64[[#This Row],[Alternate Adj. Total]]*(UninsLT18to64[[#This Row],[200 to 399% of FPL - Uninsured]]/UninsLT18to64[[#This Row],[Total]])</f>
        <v>145</v>
      </c>
      <c r="L134" s="96">
        <v>103</v>
      </c>
      <c r="M134" s="63">
        <v>261</v>
      </c>
      <c r="N134" s="93">
        <f>UninsLT18to64[[#This Row],[Alternate Adj. Total]]*(UninsLT18to64[[#This Row],[400% FPL and over - Uninsured]]/UninsLT18to64[[#This Row],[Total]])</f>
        <v>261</v>
      </c>
      <c r="O134" s="96">
        <v>207</v>
      </c>
      <c r="P134" s="64">
        <f>SUM(UninsLT18to64[[#This Row],[Below 138% of FPL - Uninsured]]+UninsLT18to64[[#This Row],[138 to 199% of FPL - Uninsured]]+UninsLT18to64[[#This Row],[200 to 399% of FPL - Uninsured]]+UninsLT18to64[[#This Row],[400% FPL and over - Uninsured]])</f>
        <v>923</v>
      </c>
      <c r="Q134" s="83">
        <v>7.8893620726307775E-2</v>
      </c>
      <c r="R13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923</v>
      </c>
      <c r="S134" s="70">
        <f>IF(UninsLT18to64[[#This Row],[Total]]&lt;1000,UninsLT18to64[[#This Row],[Total]],MAX(VLOOKUP(UninsLT18to64[[#This Row],[ZIP Code]],IRSzipToCntyTbl[#All],3,0),(UninsLT18to64[[#This Row],[Total]]-(109811*(VLOOKUP(UninsLT18to64[[#This Row],[ZIP Code]],CitizenshipTbl[#All],4,0))))*0.8))</f>
        <v>923</v>
      </c>
      <c r="V134" s="71"/>
    </row>
    <row r="135" spans="1:22" x14ac:dyDescent="0.3">
      <c r="A135" s="62">
        <v>21202</v>
      </c>
      <c r="B135" s="63" t="str">
        <f>VLOOKUP(A135,ZipToCntyTbl[#All],2,0)</f>
        <v>Baltimore</v>
      </c>
      <c r="C135" s="63" t="str">
        <f>VLOOKUP(A135,ZipToCntyTbl[#All],3,0)</f>
        <v>Baltimore City</v>
      </c>
      <c r="D135" s="63">
        <v>571</v>
      </c>
      <c r="E135" s="93">
        <f>UninsLT18to64[[#This Row],[Alternate Adj. Total]]*(UninsLT18to64[[#This Row],[Below 138% of FPL - Uninsured]]/UninsLT18to64[[#This Row],[Total]])</f>
        <v>418.71347081240413</v>
      </c>
      <c r="F135" s="96">
        <v>268</v>
      </c>
      <c r="G135" s="63">
        <v>170</v>
      </c>
      <c r="H135" s="93">
        <f>UninsLT18to64[[#This Row],[Alternate Adj. Total]]*(UninsLT18to64[[#This Row],[138 to 199% of FPL - Uninsured]]/UninsLT18to64[[#This Row],[Total]])</f>
        <v>124.66075313153888</v>
      </c>
      <c r="I135" s="96">
        <v>123</v>
      </c>
      <c r="J135" s="63">
        <v>276</v>
      </c>
      <c r="K135" s="93">
        <f>UninsLT18to64[[#This Row],[Alternate Adj. Total]]*(UninsLT18to64[[#This Row],[200 to 399% of FPL - Uninsured]]/UninsLT18to64[[#This Row],[Total]])</f>
        <v>202.39039920179255</v>
      </c>
      <c r="L135" s="96">
        <v>159</v>
      </c>
      <c r="M135" s="63">
        <v>60</v>
      </c>
      <c r="N135" s="93">
        <f>UninsLT18to64[[#This Row],[Alternate Adj. Total]]*(UninsLT18to64[[#This Row],[400% FPL and over - Uninsured]]/UninsLT18to64[[#This Row],[Total]])</f>
        <v>43.997912869954895</v>
      </c>
      <c r="O135" s="96">
        <v>58</v>
      </c>
      <c r="P135" s="64">
        <f>SUM(UninsLT18to64[[#This Row],[Below 138% of FPL - Uninsured]]+UninsLT18to64[[#This Row],[138 to 199% of FPL - Uninsured]]+UninsLT18to64[[#This Row],[200 to 399% of FPL - Uninsured]]+UninsLT18to64[[#This Row],[400% FPL and over - Uninsured]])</f>
        <v>1077</v>
      </c>
      <c r="Q135" s="83">
        <v>6.7612638746872872E-2</v>
      </c>
      <c r="R13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759.2</v>
      </c>
      <c r="S135" s="70">
        <f>IF(UninsLT18to64[[#This Row],[Total]]&lt;1000,UninsLT18to64[[#This Row],[Total]],MAX(VLOOKUP(UninsLT18to64[[#This Row],[ZIP Code]],IRSzipToCntyTbl[#All],3,0),(UninsLT18to64[[#This Row],[Total]]-(109811*(VLOOKUP(UninsLT18to64[[#This Row],[ZIP Code]],CitizenshipTbl[#All],4,0))))*0.8))</f>
        <v>789.76253601569044</v>
      </c>
      <c r="V135" s="71"/>
    </row>
    <row r="136" spans="1:22" x14ac:dyDescent="0.3">
      <c r="A136" s="62">
        <v>21204</v>
      </c>
      <c r="B136" s="63" t="str">
        <f>VLOOKUP(A136,ZipToCntyTbl[#All],2,0)</f>
        <v>Towson</v>
      </c>
      <c r="C136" s="63" t="str">
        <f>VLOOKUP(A136,ZipToCntyTbl[#All],3,0)</f>
        <v>Baltimore</v>
      </c>
      <c r="D136" s="63">
        <v>213</v>
      </c>
      <c r="E136" s="93">
        <f>UninsLT18to64[[#This Row],[Alternate Adj. Total]]*(UninsLT18to64[[#This Row],[Below 138% of FPL - Uninsured]]/UninsLT18to64[[#This Row],[Total]])</f>
        <v>212.99999999999997</v>
      </c>
      <c r="F136" s="96">
        <v>161</v>
      </c>
      <c r="G136" s="63">
        <v>170</v>
      </c>
      <c r="H136" s="93">
        <f>UninsLT18to64[[#This Row],[Alternate Adj. Total]]*(UninsLT18to64[[#This Row],[138 to 199% of FPL - Uninsured]]/UninsLT18to64[[#This Row],[Total]])</f>
        <v>170</v>
      </c>
      <c r="I136" s="96">
        <v>173</v>
      </c>
      <c r="J136" s="63">
        <v>83</v>
      </c>
      <c r="K136" s="93">
        <f>UninsLT18to64[[#This Row],[Alternate Adj. Total]]*(UninsLT18to64[[#This Row],[200 to 399% of FPL - Uninsured]]/UninsLT18to64[[#This Row],[Total]])</f>
        <v>83</v>
      </c>
      <c r="L136" s="96">
        <v>62</v>
      </c>
      <c r="M136" s="63">
        <v>250</v>
      </c>
      <c r="N136" s="93">
        <f>UninsLT18to64[[#This Row],[Alternate Adj. Total]]*(UninsLT18to64[[#This Row],[400% FPL and over - Uninsured]]/UninsLT18to64[[#This Row],[Total]])</f>
        <v>250</v>
      </c>
      <c r="O136" s="96">
        <v>215</v>
      </c>
      <c r="P136" s="64">
        <f>SUM(UninsLT18to64[[#This Row],[Below 138% of FPL - Uninsured]]+UninsLT18to64[[#This Row],[138 to 199% of FPL - Uninsured]]+UninsLT18to64[[#This Row],[200 to 399% of FPL - Uninsured]]+UninsLT18to64[[#This Row],[400% FPL and over - Uninsured]])</f>
        <v>716</v>
      </c>
      <c r="Q136" s="83">
        <v>0.10170225129941632</v>
      </c>
      <c r="R13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716</v>
      </c>
      <c r="S136" s="70">
        <f>IF(UninsLT18to64[[#This Row],[Total]]&lt;1000,UninsLT18to64[[#This Row],[Total]],MAX(VLOOKUP(UninsLT18to64[[#This Row],[ZIP Code]],IRSzipToCntyTbl[#All],3,0),(UninsLT18to64[[#This Row],[Total]]-(109811*(VLOOKUP(UninsLT18to64[[#This Row],[ZIP Code]],CitizenshipTbl[#All],4,0))))*0.8))</f>
        <v>716</v>
      </c>
      <c r="V136" s="71"/>
    </row>
    <row r="137" spans="1:22" x14ac:dyDescent="0.3">
      <c r="A137" s="62">
        <v>21205</v>
      </c>
      <c r="B137" s="63" t="str">
        <f>VLOOKUP(A137,ZipToCntyTbl[#All],2,0)</f>
        <v>Baltimore</v>
      </c>
      <c r="C137" s="63" t="str">
        <f>VLOOKUP(A137,ZipToCntyTbl[#All],3,0)</f>
        <v>Baltimore City</v>
      </c>
      <c r="D137" s="63">
        <v>642</v>
      </c>
      <c r="E137" s="93">
        <f>UninsLT18to64[[#This Row],[Alternate Adj. Total]]*(UninsLT18to64[[#This Row],[Below 138% of FPL - Uninsured]]/UninsLT18to64[[#This Row],[Total]])</f>
        <v>436.39076136507794</v>
      </c>
      <c r="F137" s="96">
        <v>349</v>
      </c>
      <c r="G137" s="63">
        <v>289</v>
      </c>
      <c r="H137" s="93">
        <f>UninsLT18to64[[#This Row],[Alternate Adj. Total]]*(UninsLT18to64[[#This Row],[138 to 199% of FPL - Uninsured]]/UninsLT18to64[[#This Row],[Total]])</f>
        <v>196.44381625312698</v>
      </c>
      <c r="I137" s="96">
        <v>205</v>
      </c>
      <c r="J137" s="63">
        <v>495</v>
      </c>
      <c r="K137" s="93">
        <f>UninsLT18to64[[#This Row],[Alternate Adj. Total]]*(UninsLT18to64[[#This Row],[200 to 399% of FPL - Uninsured]]/UninsLT18to64[[#This Row],[Total]])</f>
        <v>336.46951226746665</v>
      </c>
      <c r="L137" s="96">
        <v>228</v>
      </c>
      <c r="M137" s="63">
        <v>268</v>
      </c>
      <c r="N137" s="93">
        <f>UninsLT18to64[[#This Row],[Alternate Adj. Total]]*(UninsLT18to64[[#This Row],[400% FPL and over - Uninsured]]/UninsLT18to64[[#This Row],[Total]])</f>
        <v>182.16935209632538</v>
      </c>
      <c r="O137" s="96">
        <v>132</v>
      </c>
      <c r="P137" s="64">
        <f>SUM(UninsLT18to64[[#This Row],[Below 138% of FPL - Uninsured]]+UninsLT18to64[[#This Row],[138 to 199% of FPL - Uninsured]]+UninsLT18to64[[#This Row],[200 to 399% of FPL - Uninsured]]+UninsLT18to64[[#This Row],[400% FPL and over - Uninsured]])</f>
        <v>1694</v>
      </c>
      <c r="Q137" s="83">
        <v>4.2986311647214927E-2</v>
      </c>
      <c r="R13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1064.8</v>
      </c>
      <c r="S137" s="70">
        <f>IF(UninsLT18to64[[#This Row],[Total]]&lt;1000,UninsLT18to64[[#This Row],[Total]],MAX(VLOOKUP(UninsLT18to64[[#This Row],[ZIP Code]],IRSzipToCntyTbl[#All],3,0),(UninsLT18to64[[#This Row],[Total]]-(109811*(VLOOKUP(UninsLT18to64[[#This Row],[ZIP Code]],CitizenshipTbl[#All],4,0))))*0.8))</f>
        <v>1151.473441981997</v>
      </c>
      <c r="V137" s="71"/>
    </row>
    <row r="138" spans="1:22" x14ac:dyDescent="0.3">
      <c r="A138" s="62">
        <v>21206</v>
      </c>
      <c r="B138" s="63" t="str">
        <f>VLOOKUP(A138,ZipToCntyTbl[#All],2,0)</f>
        <v>Baltimore</v>
      </c>
      <c r="C138" s="63" t="str">
        <f>VLOOKUP(A138,ZipToCntyTbl[#All],3,0)</f>
        <v>Baltimore City</v>
      </c>
      <c r="D138" s="63">
        <v>1131</v>
      </c>
      <c r="E138" s="93">
        <f>UninsLT18to64[[#This Row],[Alternate Adj. Total]]*(UninsLT18to64[[#This Row],[Below 138% of FPL - Uninsured]]/UninsLT18to64[[#This Row],[Total]])</f>
        <v>778.16386775722549</v>
      </c>
      <c r="F138" s="96">
        <v>650</v>
      </c>
      <c r="G138" s="63">
        <v>563</v>
      </c>
      <c r="H138" s="93">
        <f>UninsLT18to64[[#This Row],[Alternate Adj. Total]]*(UninsLT18to64[[#This Row],[138 to 199% of FPL - Uninsured]]/UninsLT18to64[[#This Row],[Total]])</f>
        <v>387.36185459532976</v>
      </c>
      <c r="I138" s="96">
        <v>240</v>
      </c>
      <c r="J138" s="63">
        <v>717</v>
      </c>
      <c r="K138" s="93">
        <f>UninsLT18to64[[#This Row],[Alternate Adj. Total]]*(UninsLT18to64[[#This Row],[200 to 399% of FPL - Uninsured]]/UninsLT18to64[[#This Row],[Total]])</f>
        <v>493.31873844556202</v>
      </c>
      <c r="L138" s="96">
        <v>251</v>
      </c>
      <c r="M138" s="63">
        <v>822</v>
      </c>
      <c r="N138" s="93">
        <f>UninsLT18to64[[#This Row],[Alternate Adj. Total]]*(UninsLT18to64[[#This Row],[400% FPL and over - Uninsured]]/UninsLT18to64[[#This Row],[Total]])</f>
        <v>565.56206834344766</v>
      </c>
      <c r="O138" s="96">
        <v>340</v>
      </c>
      <c r="P138" s="64">
        <f>SUM(UninsLT18to64[[#This Row],[Below 138% of FPL - Uninsured]]+UninsLT18to64[[#This Row],[138 to 199% of FPL - Uninsured]]+UninsLT18to64[[#This Row],[200 to 399% of FPL - Uninsured]]+UninsLT18to64[[#This Row],[400% FPL and over - Uninsured]])</f>
        <v>3233</v>
      </c>
      <c r="Q138" s="83">
        <v>2.2523604061361609E-2</v>
      </c>
      <c r="R13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2070.4</v>
      </c>
      <c r="S138" s="70">
        <f>IF(UninsLT18to64[[#This Row],[Total]]&lt;1000,UninsLT18to64[[#This Row],[Total]],MAX(VLOOKUP(UninsLT18to64[[#This Row],[ZIP Code]],IRSzipToCntyTbl[#All],3,0),(UninsLT18to64[[#This Row],[Total]]-(109811*(VLOOKUP(UninsLT18to64[[#This Row],[ZIP Code]],CitizenshipTbl[#All],4,0))))*0.8))</f>
        <v>2224.406529141565</v>
      </c>
      <c r="V138" s="71"/>
    </row>
    <row r="139" spans="1:22" x14ac:dyDescent="0.3">
      <c r="A139" s="62">
        <v>21207</v>
      </c>
      <c r="B139" s="63" t="str">
        <f>VLOOKUP(A139,ZipToCntyTbl[#All],2,0)</f>
        <v>Gwynn Oak</v>
      </c>
      <c r="C139" s="63" t="str">
        <f>VLOOKUP(A139,ZipToCntyTbl[#All],3,0)</f>
        <v>Baltimore</v>
      </c>
      <c r="D139" s="63">
        <v>946</v>
      </c>
      <c r="E139" s="93">
        <f>UninsLT18to64[[#This Row],[Alternate Adj. Total]]*(UninsLT18to64[[#This Row],[Below 138% of FPL - Uninsured]]/UninsLT18to64[[#This Row],[Total]])</f>
        <v>634.22170846184758</v>
      </c>
      <c r="F139" s="96">
        <v>451</v>
      </c>
      <c r="G139" s="63">
        <v>400</v>
      </c>
      <c r="H139" s="93">
        <f>UninsLT18to64[[#This Row],[Alternate Adj. Total]]*(UninsLT18to64[[#This Row],[138 to 199% of FPL - Uninsured]]/UninsLT18to64[[#This Row],[Total]])</f>
        <v>268.16985558640488</v>
      </c>
      <c r="I139" s="96">
        <v>306</v>
      </c>
      <c r="J139" s="63">
        <v>1715</v>
      </c>
      <c r="K139" s="93">
        <f>UninsLT18to64[[#This Row],[Alternate Adj. Total]]*(UninsLT18to64[[#This Row],[200 to 399% of FPL - Uninsured]]/UninsLT18to64[[#This Row],[Total]])</f>
        <v>1149.7782558267108</v>
      </c>
      <c r="L139" s="96">
        <v>460</v>
      </c>
      <c r="M139" s="63">
        <v>495</v>
      </c>
      <c r="N139" s="93">
        <f>UninsLT18to64[[#This Row],[Alternate Adj. Total]]*(UninsLT18to64[[#This Row],[400% FPL and over - Uninsured]]/UninsLT18to64[[#This Row],[Total]])</f>
        <v>331.86019628817604</v>
      </c>
      <c r="O139" s="96">
        <v>192</v>
      </c>
      <c r="P139" s="64">
        <f>SUM(UninsLT18to64[[#This Row],[Below 138% of FPL - Uninsured]]+UninsLT18to64[[#This Row],[138 to 199% of FPL - Uninsured]]+UninsLT18to64[[#This Row],[200 to 399% of FPL - Uninsured]]+UninsLT18to64[[#This Row],[400% FPL and over - Uninsured]])</f>
        <v>3556</v>
      </c>
      <c r="Q139" s="83">
        <v>2.0477731139027584E-2</v>
      </c>
      <c r="R13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2188</v>
      </c>
      <c r="S139" s="70">
        <f>IF(UninsLT18to64[[#This Row],[Total]]&lt;1000,UninsLT18to64[[#This Row],[Total]],MAX(VLOOKUP(UninsLT18to64[[#This Row],[ZIP Code]],IRSzipToCntyTbl[#All],3,0),(UninsLT18to64[[#This Row],[Total]]-(109811*(VLOOKUP(UninsLT18to64[[#This Row],[ZIP Code]],CitizenshipTbl[#All],4,0))))*0.8))</f>
        <v>2384.0300161631394</v>
      </c>
      <c r="V139" s="71"/>
    </row>
    <row r="140" spans="1:22" x14ac:dyDescent="0.3">
      <c r="A140" s="62">
        <v>21208</v>
      </c>
      <c r="B140" s="63" t="str">
        <f>VLOOKUP(A140,ZipToCntyTbl[#All],2,0)</f>
        <v>Pikesville</v>
      </c>
      <c r="C140" s="63" t="str">
        <f>VLOOKUP(A140,ZipToCntyTbl[#All],3,0)</f>
        <v>Baltimore</v>
      </c>
      <c r="D140" s="63">
        <v>401</v>
      </c>
      <c r="E140" s="93">
        <f>UninsLT18to64[[#This Row],[Alternate Adj. Total]]*(UninsLT18to64[[#This Row],[Below 138% of FPL - Uninsured]]/UninsLT18to64[[#This Row],[Total]])</f>
        <v>255.30829744651336</v>
      </c>
      <c r="F140" s="96">
        <v>363</v>
      </c>
      <c r="G140" s="63">
        <v>222</v>
      </c>
      <c r="H140" s="93">
        <f>UninsLT18to64[[#This Row],[Alternate Adj. Total]]*(UninsLT18to64[[#This Row],[138 to 199% of FPL - Uninsured]]/UninsLT18to64[[#This Row],[Total]])</f>
        <v>141.34274821228419</v>
      </c>
      <c r="I140" s="96">
        <v>166</v>
      </c>
      <c r="J140" s="63">
        <v>884</v>
      </c>
      <c r="K140" s="93">
        <f>UninsLT18to64[[#This Row],[Alternate Adj. Total]]*(UninsLT18to64[[#This Row],[200 to 399% of FPL - Uninsured]]/UninsLT18to64[[#This Row],[Total]])</f>
        <v>562.82427666513172</v>
      </c>
      <c r="L140" s="96">
        <v>411</v>
      </c>
      <c r="M140" s="63">
        <v>194</v>
      </c>
      <c r="N140" s="93">
        <f>UninsLT18to64[[#This Row],[Alternate Adj. Total]]*(UninsLT18to64[[#This Row],[400% FPL and over - Uninsured]]/UninsLT18to64[[#This Row],[Total]])</f>
        <v>123.51573492424836</v>
      </c>
      <c r="O140" s="96">
        <v>98</v>
      </c>
      <c r="P140" s="64">
        <f>SUM(UninsLT18to64[[#This Row],[Below 138% of FPL - Uninsured]]+UninsLT18to64[[#This Row],[138 to 199% of FPL - Uninsured]]+UninsLT18to64[[#This Row],[200 to 399% of FPL - Uninsured]]+UninsLT18to64[[#This Row],[400% FPL and over - Uninsured]])</f>
        <v>1701</v>
      </c>
      <c r="Q140" s="83">
        <v>4.2809413245374531E-2</v>
      </c>
      <c r="R14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964.80000000000007</v>
      </c>
      <c r="S140" s="70">
        <f>IF(UninsLT18to64[[#This Row],[Total]]&lt;1000,UninsLT18to64[[#This Row],[Total]],MAX(VLOOKUP(UninsLT18to64[[#This Row],[ZIP Code]],IRSzipToCntyTbl[#All],3,0),(UninsLT18to64[[#This Row],[Total]]-(109811*(VLOOKUP(UninsLT18to64[[#This Row],[ZIP Code]],CitizenshipTbl[#All],4,0))))*0.8))</f>
        <v>1082.9910572481776</v>
      </c>
      <c r="V140" s="71"/>
    </row>
    <row r="141" spans="1:22" x14ac:dyDescent="0.3">
      <c r="A141" s="62">
        <v>21209</v>
      </c>
      <c r="B141" s="63" t="str">
        <f>VLOOKUP(A141,ZipToCntyTbl[#All],2,0)</f>
        <v>Baltimore</v>
      </c>
      <c r="C141" s="63" t="str">
        <f>VLOOKUP(A141,ZipToCntyTbl[#All],3,0)</f>
        <v>Baltimore City</v>
      </c>
      <c r="D141" s="63">
        <v>206</v>
      </c>
      <c r="E141" s="93">
        <f>UninsLT18to64[[#This Row],[Alternate Adj. Total]]*(UninsLT18to64[[#This Row],[Below 138% of FPL - Uninsured]]/UninsLT18to64[[#This Row],[Total]])</f>
        <v>206</v>
      </c>
      <c r="F141" s="96">
        <v>200</v>
      </c>
      <c r="G141" s="63">
        <v>66</v>
      </c>
      <c r="H141" s="93">
        <f>UninsLT18to64[[#This Row],[Alternate Adj. Total]]*(UninsLT18to64[[#This Row],[138 to 199% of FPL - Uninsured]]/UninsLT18to64[[#This Row],[Total]])</f>
        <v>66</v>
      </c>
      <c r="I141" s="96">
        <v>86</v>
      </c>
      <c r="J141" s="63">
        <v>258</v>
      </c>
      <c r="K141" s="93">
        <f>UninsLT18to64[[#This Row],[Alternate Adj. Total]]*(UninsLT18to64[[#This Row],[200 to 399% of FPL - Uninsured]]/UninsLT18to64[[#This Row],[Total]])</f>
        <v>258</v>
      </c>
      <c r="L141" s="96">
        <v>165</v>
      </c>
      <c r="M141" s="63">
        <v>266</v>
      </c>
      <c r="N141" s="93">
        <f>UninsLT18to64[[#This Row],[Alternate Adj. Total]]*(UninsLT18to64[[#This Row],[400% FPL and over - Uninsured]]/UninsLT18to64[[#This Row],[Total]])</f>
        <v>266</v>
      </c>
      <c r="O141" s="96">
        <v>137</v>
      </c>
      <c r="P141" s="64">
        <f>SUM(UninsLT18to64[[#This Row],[Below 138% of FPL - Uninsured]]+UninsLT18to64[[#This Row],[138 to 199% of FPL - Uninsured]]+UninsLT18to64[[#This Row],[200 to 399% of FPL - Uninsured]]+UninsLT18to64[[#This Row],[400% FPL and over - Uninsured]])</f>
        <v>796</v>
      </c>
      <c r="Q141" s="83">
        <v>9.1480919510530251E-2</v>
      </c>
      <c r="R14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796</v>
      </c>
      <c r="S141" s="70">
        <f>IF(UninsLT18to64[[#This Row],[Total]]&lt;1000,UninsLT18to64[[#This Row],[Total]],MAX(VLOOKUP(UninsLT18to64[[#This Row],[ZIP Code]],IRSzipToCntyTbl[#All],3,0),(UninsLT18to64[[#This Row],[Total]]-(109811*(VLOOKUP(UninsLT18to64[[#This Row],[ZIP Code]],CitizenshipTbl[#All],4,0))))*0.8))</f>
        <v>796</v>
      </c>
      <c r="V141" s="71"/>
    </row>
    <row r="142" spans="1:22" x14ac:dyDescent="0.3">
      <c r="A142" s="62">
        <v>21210</v>
      </c>
      <c r="B142" s="63" t="str">
        <f>VLOOKUP(A142,ZipToCntyTbl[#All],2,0)</f>
        <v>Baltimore</v>
      </c>
      <c r="C142" s="63" t="str">
        <f>VLOOKUP(A142,ZipToCntyTbl[#All],3,0)</f>
        <v>Baltimore City</v>
      </c>
      <c r="D142" s="63">
        <v>147</v>
      </c>
      <c r="E142" s="93">
        <f>UninsLT18to64[[#This Row],[Alternate Adj. Total]]*(UninsLT18to64[[#This Row],[Below 138% of FPL - Uninsured]]/UninsLT18to64[[#This Row],[Total]])</f>
        <v>147</v>
      </c>
      <c r="F142" s="96">
        <v>141</v>
      </c>
      <c r="G142" s="63">
        <v>34</v>
      </c>
      <c r="H142" s="93">
        <f>UninsLT18to64[[#This Row],[Alternate Adj. Total]]*(UninsLT18to64[[#This Row],[138 to 199% of FPL - Uninsured]]/UninsLT18to64[[#This Row],[Total]])</f>
        <v>34</v>
      </c>
      <c r="I142" s="96">
        <v>42</v>
      </c>
      <c r="J142" s="63">
        <v>32</v>
      </c>
      <c r="K142" s="93">
        <f>UninsLT18to64[[#This Row],[Alternate Adj. Total]]*(UninsLT18to64[[#This Row],[200 to 399% of FPL - Uninsured]]/UninsLT18to64[[#This Row],[Total]])</f>
        <v>32</v>
      </c>
      <c r="L142" s="96">
        <v>49</v>
      </c>
      <c r="M142" s="63">
        <v>105</v>
      </c>
      <c r="N142" s="93">
        <f>UninsLT18to64[[#This Row],[Alternate Adj. Total]]*(UninsLT18to64[[#This Row],[400% FPL and over - Uninsured]]/UninsLT18to64[[#This Row],[Total]])</f>
        <v>105</v>
      </c>
      <c r="O142" s="96">
        <v>96</v>
      </c>
      <c r="P142" s="64">
        <f>SUM(UninsLT18to64[[#This Row],[Below 138% of FPL - Uninsured]]+UninsLT18to64[[#This Row],[138 to 199% of FPL - Uninsured]]+UninsLT18to64[[#This Row],[200 to 399% of FPL - Uninsured]]+UninsLT18to64[[#This Row],[400% FPL and over - Uninsured]])</f>
        <v>318</v>
      </c>
      <c r="Q142" s="83">
        <v>0.22898997462384302</v>
      </c>
      <c r="R14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318</v>
      </c>
      <c r="S142" s="70">
        <f>IF(UninsLT18to64[[#This Row],[Total]]&lt;1000,UninsLT18to64[[#This Row],[Total]],MAX(VLOOKUP(UninsLT18to64[[#This Row],[ZIP Code]],IRSzipToCntyTbl[#All],3,0),(UninsLT18to64[[#This Row],[Total]]-(109811*(VLOOKUP(UninsLT18to64[[#This Row],[ZIP Code]],CitizenshipTbl[#All],4,0))))*0.8))</f>
        <v>318</v>
      </c>
      <c r="V142" s="71"/>
    </row>
    <row r="143" spans="1:22" x14ac:dyDescent="0.3">
      <c r="A143" s="62">
        <v>21211</v>
      </c>
      <c r="B143" s="63" t="str">
        <f>VLOOKUP(A143,ZipToCntyTbl[#All],2,0)</f>
        <v>Baltimore</v>
      </c>
      <c r="C143" s="63" t="str">
        <f>VLOOKUP(A143,ZipToCntyTbl[#All],3,0)</f>
        <v>Baltimore City</v>
      </c>
      <c r="D143" s="63">
        <v>318</v>
      </c>
      <c r="E143" s="93">
        <f>UninsLT18to64[[#This Row],[Alternate Adj. Total]]*(UninsLT18to64[[#This Row],[Below 138% of FPL - Uninsured]]/UninsLT18to64[[#This Row],[Total]])</f>
        <v>318</v>
      </c>
      <c r="F143" s="96">
        <v>207</v>
      </c>
      <c r="G143" s="63">
        <v>125</v>
      </c>
      <c r="H143" s="93">
        <f>UninsLT18to64[[#This Row],[Alternate Adj. Total]]*(UninsLT18to64[[#This Row],[138 to 199% of FPL - Uninsured]]/UninsLT18to64[[#This Row],[Total]])</f>
        <v>125</v>
      </c>
      <c r="I143" s="96">
        <v>96</v>
      </c>
      <c r="J143" s="63">
        <v>240</v>
      </c>
      <c r="K143" s="93">
        <f>UninsLT18to64[[#This Row],[Alternate Adj. Total]]*(UninsLT18to64[[#This Row],[200 to 399% of FPL - Uninsured]]/UninsLT18to64[[#This Row],[Total]])</f>
        <v>240</v>
      </c>
      <c r="L143" s="96">
        <v>104</v>
      </c>
      <c r="M143" s="63">
        <v>179</v>
      </c>
      <c r="N143" s="93">
        <f>UninsLT18to64[[#This Row],[Alternate Adj. Total]]*(UninsLT18to64[[#This Row],[400% FPL and over - Uninsured]]/UninsLT18to64[[#This Row],[Total]])</f>
        <v>179</v>
      </c>
      <c r="O143" s="96">
        <v>104</v>
      </c>
      <c r="P143" s="64">
        <f>SUM(UninsLT18to64[[#This Row],[Below 138% of FPL - Uninsured]]+UninsLT18to64[[#This Row],[138 to 199% of FPL - Uninsured]]+UninsLT18to64[[#This Row],[200 to 399% of FPL - Uninsured]]+UninsLT18to64[[#This Row],[400% FPL and over - Uninsured]])</f>
        <v>862</v>
      </c>
      <c r="Q143" s="83">
        <v>8.4476579965640466E-2</v>
      </c>
      <c r="R14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862</v>
      </c>
      <c r="S143" s="70">
        <f>IF(UninsLT18to64[[#This Row],[Total]]&lt;1000,UninsLT18to64[[#This Row],[Total]],MAX(VLOOKUP(UninsLT18to64[[#This Row],[ZIP Code]],IRSzipToCntyTbl[#All],3,0),(UninsLT18to64[[#This Row],[Total]]-(109811*(VLOOKUP(UninsLT18to64[[#This Row],[ZIP Code]],CitizenshipTbl[#All],4,0))))*0.8))</f>
        <v>862</v>
      </c>
      <c r="V143" s="71"/>
    </row>
    <row r="144" spans="1:22" x14ac:dyDescent="0.3">
      <c r="A144" s="62">
        <v>21212</v>
      </c>
      <c r="B144" s="63" t="str">
        <f>VLOOKUP(A144,ZipToCntyTbl[#All],2,0)</f>
        <v>Baltimore</v>
      </c>
      <c r="C144" s="63" t="str">
        <f>VLOOKUP(A144,ZipToCntyTbl[#All],3,0)</f>
        <v>Baltimore City</v>
      </c>
      <c r="D144" s="63">
        <v>760</v>
      </c>
      <c r="E144" s="93">
        <f>UninsLT18to64[[#This Row],[Alternate Adj. Total]]*(UninsLT18to64[[#This Row],[Below 138% of FPL - Uninsured]]/UninsLT18to64[[#This Row],[Total]])</f>
        <v>524.66163432974076</v>
      </c>
      <c r="F144" s="96">
        <v>442</v>
      </c>
      <c r="G144" s="63">
        <v>416</v>
      </c>
      <c r="H144" s="93">
        <f>UninsLT18to64[[#This Row],[Alternate Adj. Total]]*(UninsLT18to64[[#This Row],[138 to 199% of FPL - Uninsured]]/UninsLT18to64[[#This Row],[Total]])</f>
        <v>287.18321036996343</v>
      </c>
      <c r="I144" s="96">
        <v>210</v>
      </c>
      <c r="J144" s="63">
        <v>399</v>
      </c>
      <c r="K144" s="93">
        <f>UninsLT18to64[[#This Row],[Alternate Adj. Total]]*(UninsLT18to64[[#This Row],[200 to 399% of FPL - Uninsured]]/UninsLT18to64[[#This Row],[Total]])</f>
        <v>275.44735802311391</v>
      </c>
      <c r="L144" s="96">
        <v>208</v>
      </c>
      <c r="M144" s="63">
        <v>375</v>
      </c>
      <c r="N144" s="93">
        <f>UninsLT18to64[[#This Row],[Alternate Adj. Total]]*(UninsLT18to64[[#This Row],[400% FPL and over - Uninsured]]/UninsLT18to64[[#This Row],[Total]])</f>
        <v>258.8790958863853</v>
      </c>
      <c r="O144" s="96">
        <v>238</v>
      </c>
      <c r="P144" s="64">
        <f>SUM(UninsLT18to64[[#This Row],[Below 138% of FPL - Uninsured]]+UninsLT18to64[[#This Row],[138 to 199% of FPL - Uninsured]]+UninsLT18to64[[#This Row],[200 to 399% of FPL - Uninsured]]+UninsLT18to64[[#This Row],[400% FPL and over - Uninsured]])</f>
        <v>1950</v>
      </c>
      <c r="Q144" s="83">
        <v>3.7342980477119016E-2</v>
      </c>
      <c r="R14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1255.2</v>
      </c>
      <c r="S144" s="70">
        <f>IF(UninsLT18to64[[#This Row],[Total]]&lt;1000,UninsLT18to64[[#This Row],[Total]],MAX(VLOOKUP(UninsLT18to64[[#This Row],[ZIP Code]],IRSzipToCntyTbl[#All],3,0),(UninsLT18to64[[#This Row],[Total]]-(109811*(VLOOKUP(UninsLT18to64[[#This Row],[ZIP Code]],CitizenshipTbl[#All],4,0))))*0.8))</f>
        <v>1346.1712986092034</v>
      </c>
      <c r="V144" s="71"/>
    </row>
    <row r="145" spans="1:22" x14ac:dyDescent="0.3">
      <c r="A145" s="62">
        <v>21213</v>
      </c>
      <c r="B145" s="63" t="str">
        <f>VLOOKUP(A145,ZipToCntyTbl[#All],2,0)</f>
        <v>Baltimore</v>
      </c>
      <c r="C145" s="63" t="str">
        <f>VLOOKUP(A145,ZipToCntyTbl[#All],3,0)</f>
        <v>Baltimore City</v>
      </c>
      <c r="D145" s="63">
        <v>1229</v>
      </c>
      <c r="E145" s="93">
        <f>UninsLT18to64[[#This Row],[Alternate Adj. Total]]*(UninsLT18to64[[#This Row],[Below 138% of FPL - Uninsured]]/UninsLT18to64[[#This Row],[Total]])</f>
        <v>924.82066015346186</v>
      </c>
      <c r="F145" s="96">
        <v>683</v>
      </c>
      <c r="G145" s="63">
        <v>350</v>
      </c>
      <c r="H145" s="93">
        <f>UninsLT18to64[[#This Row],[Alternate Adj. Total]]*(UninsLT18to64[[#This Row],[138 to 199% of FPL - Uninsured]]/UninsLT18to64[[#This Row],[Total]])</f>
        <v>263.37447604044883</v>
      </c>
      <c r="I145" s="96">
        <v>210</v>
      </c>
      <c r="J145" s="63">
        <v>446</v>
      </c>
      <c r="K145" s="93">
        <f>UninsLT18to64[[#This Row],[Alternate Adj. Total]]*(UninsLT18to64[[#This Row],[200 to 399% of FPL - Uninsured]]/UninsLT18to64[[#This Row],[Total]])</f>
        <v>335.61433232582914</v>
      </c>
      <c r="L145" s="96">
        <v>162</v>
      </c>
      <c r="M145" s="63">
        <v>338</v>
      </c>
      <c r="N145" s="93">
        <f>UninsLT18to64[[#This Row],[Alternate Adj. Total]]*(UninsLT18to64[[#This Row],[400% FPL and over - Uninsured]]/UninsLT18to64[[#This Row],[Total]])</f>
        <v>254.34449400477632</v>
      </c>
      <c r="O145" s="96">
        <v>244</v>
      </c>
      <c r="P145" s="64">
        <f>SUM(UninsLT18to64[[#This Row],[Below 138% of FPL - Uninsured]]+UninsLT18to64[[#This Row],[138 to 199% of FPL - Uninsured]]+UninsLT18to64[[#This Row],[200 to 399% of FPL - Uninsured]]+UninsLT18to64[[#This Row],[400% FPL and over - Uninsured]])</f>
        <v>2363</v>
      </c>
      <c r="Q145" s="83">
        <v>3.0816255577817215E-2</v>
      </c>
      <c r="R14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1730.4</v>
      </c>
      <c r="S145" s="70">
        <f>IF(UninsLT18to64[[#This Row],[Total]]&lt;1000,UninsLT18to64[[#This Row],[Total]],MAX(VLOOKUP(UninsLT18to64[[#This Row],[ZIP Code]],IRSzipToCntyTbl[#All],3,0),(UninsLT18to64[[#This Row],[Total]]-(109811*(VLOOKUP(UninsLT18to64[[#This Row],[ZIP Code]],CitizenshipTbl[#All],4,0))))*0.8))</f>
        <v>1778.1539625245161</v>
      </c>
      <c r="V145" s="71"/>
    </row>
    <row r="146" spans="1:22" x14ac:dyDescent="0.3">
      <c r="A146" s="62">
        <v>21214</v>
      </c>
      <c r="B146" s="63" t="str">
        <f>VLOOKUP(A146,ZipToCntyTbl[#All],2,0)</f>
        <v>Baltimore</v>
      </c>
      <c r="C146" s="63" t="str">
        <f>VLOOKUP(A146,ZipToCntyTbl[#All],3,0)</f>
        <v>Baltimore City</v>
      </c>
      <c r="D146" s="63">
        <v>292</v>
      </c>
      <c r="E146" s="93">
        <f>UninsLT18to64[[#This Row],[Alternate Adj. Total]]*(UninsLT18to64[[#This Row],[Below 138% of FPL - Uninsured]]/UninsLT18to64[[#This Row],[Total]])</f>
        <v>212.94295612846136</v>
      </c>
      <c r="F146" s="96">
        <v>188</v>
      </c>
      <c r="G146" s="63">
        <v>179</v>
      </c>
      <c r="H146" s="93">
        <f>UninsLT18to64[[#This Row],[Alternate Adj. Total]]*(UninsLT18to64[[#This Row],[138 to 199% of FPL - Uninsured]]/UninsLT18to64[[#This Row],[Total]])</f>
        <v>130.53694913354309</v>
      </c>
      <c r="I146" s="96">
        <v>105</v>
      </c>
      <c r="J146" s="63">
        <v>407</v>
      </c>
      <c r="K146" s="93">
        <f>UninsLT18to64[[#This Row],[Alternate Adj. Total]]*(UninsLT18to64[[#This Row],[200 to 399% of FPL - Uninsured]]/UninsLT18to64[[#This Row],[Total]])</f>
        <v>296.80747652151979</v>
      </c>
      <c r="L146" s="96">
        <v>140</v>
      </c>
      <c r="M146" s="63">
        <v>312</v>
      </c>
      <c r="N146" s="93">
        <f>UninsLT18to64[[#This Row],[Alternate Adj. Total]]*(UninsLT18to64[[#This Row],[400% FPL and over - Uninsured]]/UninsLT18to64[[#This Row],[Total]])</f>
        <v>227.52809010986286</v>
      </c>
      <c r="O146" s="96">
        <v>166</v>
      </c>
      <c r="P146" s="64">
        <f>SUM(UninsLT18to64[[#This Row],[Below 138% of FPL - Uninsured]]+UninsLT18to64[[#This Row],[138 to 199% of FPL - Uninsured]]+UninsLT18to64[[#This Row],[200 to 399% of FPL - Uninsured]]+UninsLT18to64[[#This Row],[400% FPL and over - Uninsured]])</f>
        <v>1190</v>
      </c>
      <c r="Q146" s="83">
        <v>6.1192278933094188E-2</v>
      </c>
      <c r="R14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832</v>
      </c>
      <c r="S146" s="70">
        <f>IF(UninsLT18to64[[#This Row],[Total]]&lt;1000,UninsLT18to64[[#This Row],[Total]],MAX(VLOOKUP(UninsLT18to64[[#This Row],[ZIP Code]],IRSzipToCntyTbl[#All],3,0),(UninsLT18to64[[#This Row],[Total]]-(109811*(VLOOKUP(UninsLT18to64[[#This Row],[ZIP Code]],CitizenshipTbl[#All],4,0))))*0.8))</f>
        <v>867.8154718933871</v>
      </c>
      <c r="V146" s="71"/>
    </row>
    <row r="147" spans="1:22" x14ac:dyDescent="0.3">
      <c r="A147" s="62">
        <v>21215</v>
      </c>
      <c r="B147" s="63" t="str">
        <f>VLOOKUP(A147,ZipToCntyTbl[#All],2,0)</f>
        <v>Baltimore</v>
      </c>
      <c r="C147" s="63" t="str">
        <f>VLOOKUP(A147,ZipToCntyTbl[#All],3,0)</f>
        <v>Baltimore City</v>
      </c>
      <c r="D147" s="63">
        <v>2159</v>
      </c>
      <c r="E147" s="93">
        <f>UninsLT18to64[[#This Row],[Alternate Adj. Total]]*(UninsLT18to64[[#This Row],[Below 138% of FPL - Uninsured]]/UninsLT18to64[[#This Row],[Total]])</f>
        <v>1529.6255886762406</v>
      </c>
      <c r="F147" s="96">
        <v>822</v>
      </c>
      <c r="G147" s="63">
        <v>634</v>
      </c>
      <c r="H147" s="93">
        <f>UninsLT18to64[[#This Row],[Alternate Adj. Total]]*(UninsLT18to64[[#This Row],[138 to 199% of FPL - Uninsured]]/UninsLT18to64[[#This Row],[Total]])</f>
        <v>449.18139102396327</v>
      </c>
      <c r="I147" s="96">
        <v>296</v>
      </c>
      <c r="J147" s="63">
        <v>1366</v>
      </c>
      <c r="K147" s="93">
        <f>UninsLT18to64[[#This Row],[Alternate Adj. Total]]*(UninsLT18to64[[#This Row],[200 to 399% of FPL - Uninsured]]/UninsLT18to64[[#This Row],[Total]])</f>
        <v>967.7946058970565</v>
      </c>
      <c r="L147" s="96">
        <v>415</v>
      </c>
      <c r="M147" s="63">
        <v>1011</v>
      </c>
      <c r="N147" s="93">
        <f>UninsLT18to64[[#This Row],[Alternate Adj. Total]]*(UninsLT18to64[[#This Row],[400% FPL and over - Uninsured]]/UninsLT18to64[[#This Row],[Total]])</f>
        <v>716.28136644357539</v>
      </c>
      <c r="O147" s="96">
        <v>430</v>
      </c>
      <c r="P147" s="64">
        <f>SUM(UninsLT18to64[[#This Row],[Below 138% of FPL - Uninsured]]+UninsLT18to64[[#This Row],[138 to 199% of FPL - Uninsured]]+UninsLT18to64[[#This Row],[200 to 399% of FPL - Uninsured]]+UninsLT18to64[[#This Row],[400% FPL and over - Uninsured]])</f>
        <v>5170</v>
      </c>
      <c r="Q147" s="83">
        <v>1.4084876582278933E-2</v>
      </c>
      <c r="R14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3461.6000000000004</v>
      </c>
      <c r="S147" s="70">
        <f>IF(UninsLT18to64[[#This Row],[Total]]&lt;1000,UninsLT18to64[[#This Row],[Total]],MAX(VLOOKUP(UninsLT18to64[[#This Row],[ZIP Code]],IRSzipToCntyTbl[#All],3,0),(UninsLT18to64[[#This Row],[Total]]-(109811*(VLOOKUP(UninsLT18to64[[#This Row],[ZIP Code]],CitizenshipTbl[#All],4,0))))*0.8))</f>
        <v>3662.8829520408358</v>
      </c>
      <c r="V147" s="71"/>
    </row>
    <row r="148" spans="1:22" x14ac:dyDescent="0.3">
      <c r="A148" s="62">
        <v>21216</v>
      </c>
      <c r="B148" s="63" t="str">
        <f>VLOOKUP(A148,ZipToCntyTbl[#All],2,0)</f>
        <v>Baltimore</v>
      </c>
      <c r="C148" s="63" t="str">
        <f>VLOOKUP(A148,ZipToCntyTbl[#All],3,0)</f>
        <v>Baltimore City</v>
      </c>
      <c r="D148" s="63">
        <v>922</v>
      </c>
      <c r="E148" s="93">
        <f>UninsLT18to64[[#This Row],[Alternate Adj. Total]]*(UninsLT18to64[[#This Row],[Below 138% of FPL - Uninsured]]/UninsLT18to64[[#This Row],[Total]])</f>
        <v>701.30258409018256</v>
      </c>
      <c r="F148" s="96">
        <v>456</v>
      </c>
      <c r="G148" s="63">
        <v>342</v>
      </c>
      <c r="H148" s="93">
        <f>UninsLT18to64[[#This Row],[Alternate Adj. Total]]*(UninsLT18to64[[#This Row],[138 to 199% of FPL - Uninsured]]/UninsLT18to64[[#This Row],[Total]])</f>
        <v>260.13609952152109</v>
      </c>
      <c r="I148" s="96">
        <v>184</v>
      </c>
      <c r="J148" s="63">
        <v>815</v>
      </c>
      <c r="K148" s="93">
        <f>UninsLT18to64[[#This Row],[Alternate Adj. Total]]*(UninsLT18to64[[#This Row],[200 to 399% of FPL - Uninsured]]/UninsLT18to64[[#This Row],[Total]])</f>
        <v>619.91497400596404</v>
      </c>
      <c r="L148" s="96">
        <v>378</v>
      </c>
      <c r="M148" s="63">
        <v>316</v>
      </c>
      <c r="N148" s="93">
        <f>UninsLT18to64[[#This Row],[Alternate Adj. Total]]*(UninsLT18to64[[#This Row],[400% FPL and over - Uninsured]]/UninsLT18to64[[#This Row],[Total]])</f>
        <v>240.35967090292593</v>
      </c>
      <c r="O148" s="96">
        <v>147</v>
      </c>
      <c r="P148" s="64">
        <f>SUM(UninsLT18to64[[#This Row],[Below 138% of FPL - Uninsured]]+UninsLT18to64[[#This Row],[138 to 199% of FPL - Uninsured]]+UninsLT18to64[[#This Row],[200 to 399% of FPL - Uninsured]]+UninsLT18to64[[#This Row],[400% FPL and over - Uninsured]])</f>
        <v>2395</v>
      </c>
      <c r="Q148" s="83">
        <v>3.0404514375942413E-2</v>
      </c>
      <c r="R14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1781.6000000000001</v>
      </c>
      <c r="S148" s="70">
        <f>IF(UninsLT18to64[[#This Row],[Total]]&lt;1000,UninsLT18to64[[#This Row],[Total]],MAX(VLOOKUP(UninsLT18to64[[#This Row],[ZIP Code]],IRSzipToCntyTbl[#All],3,0),(UninsLT18to64[[#This Row],[Total]]-(109811*(VLOOKUP(UninsLT18to64[[#This Row],[ZIP Code]],CitizenshipTbl[#All],4,0))))*0.8))</f>
        <v>1821.7133285205937</v>
      </c>
      <c r="V148" s="71"/>
    </row>
    <row r="149" spans="1:22" x14ac:dyDescent="0.3">
      <c r="A149" s="62">
        <v>21217</v>
      </c>
      <c r="B149" s="63" t="str">
        <f>VLOOKUP(A149,ZipToCntyTbl[#All],2,0)</f>
        <v>Baltimore</v>
      </c>
      <c r="C149" s="63" t="str">
        <f>VLOOKUP(A149,ZipToCntyTbl[#All],3,0)</f>
        <v>Baltimore City</v>
      </c>
      <c r="D149" s="63">
        <v>1305</v>
      </c>
      <c r="E149" s="93">
        <f>UninsLT18to64[[#This Row],[Alternate Adj. Total]]*(UninsLT18to64[[#This Row],[Below 138% of FPL - Uninsured]]/UninsLT18to64[[#This Row],[Total]])</f>
        <v>964.76173328180846</v>
      </c>
      <c r="F149" s="96">
        <v>542</v>
      </c>
      <c r="G149" s="63">
        <v>509</v>
      </c>
      <c r="H149" s="93">
        <f>UninsLT18to64[[#This Row],[Alternate Adj. Total]]*(UninsLT18to64[[#This Row],[138 to 199% of FPL - Uninsured]]/UninsLT18to64[[#This Row],[Total]])</f>
        <v>376.29404003098887</v>
      </c>
      <c r="I149" s="96">
        <v>284</v>
      </c>
      <c r="J149" s="63">
        <v>943</v>
      </c>
      <c r="K149" s="93">
        <f>UninsLT18to64[[#This Row],[Alternate Adj. Total]]*(UninsLT18to64[[#This Row],[200 to 399% of FPL - Uninsured]]/UninsLT18to64[[#This Row],[Total]])</f>
        <v>697.14200343658649</v>
      </c>
      <c r="L149" s="96">
        <v>331</v>
      </c>
      <c r="M149" s="63">
        <v>247</v>
      </c>
      <c r="N149" s="93">
        <f>UninsLT18to64[[#This Row],[Alternate Adj. Total]]*(UninsLT18to64[[#This Row],[400% FPL and over - Uninsured]]/UninsLT18to64[[#This Row],[Total]])</f>
        <v>182.60241235295533</v>
      </c>
      <c r="O149" s="96">
        <v>157</v>
      </c>
      <c r="P149" s="64">
        <f>SUM(UninsLT18to64[[#This Row],[Below 138% of FPL - Uninsured]]+UninsLT18to64[[#This Row],[138 to 199% of FPL - Uninsured]]+UninsLT18to64[[#This Row],[200 to 399% of FPL - Uninsured]]+UninsLT18to64[[#This Row],[400% FPL and over - Uninsured]])</f>
        <v>3004</v>
      </c>
      <c r="Q149" s="83">
        <v>2.4240616488143171E-2</v>
      </c>
      <c r="R14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2143.2000000000003</v>
      </c>
      <c r="S149" s="70">
        <f>IF(UninsLT18to64[[#This Row],[Total]]&lt;1000,UninsLT18to64[[#This Row],[Total]],MAX(VLOOKUP(UninsLT18to64[[#This Row],[ZIP Code]],IRSzipToCntyTbl[#All],3,0),(UninsLT18to64[[#This Row],[Total]]-(109811*(VLOOKUP(UninsLT18to64[[#This Row],[ZIP Code]],CitizenshipTbl[#All],4,0))))*0.8))</f>
        <v>2220.8001891023391</v>
      </c>
      <c r="V149" s="71"/>
    </row>
    <row r="150" spans="1:22" x14ac:dyDescent="0.3">
      <c r="A150" s="62">
        <v>21218</v>
      </c>
      <c r="B150" s="63" t="str">
        <f>VLOOKUP(A150,ZipToCntyTbl[#All],2,0)</f>
        <v>Baltimore</v>
      </c>
      <c r="C150" s="63" t="str">
        <f>VLOOKUP(A150,ZipToCntyTbl[#All],3,0)</f>
        <v>Baltimore City</v>
      </c>
      <c r="D150" s="63">
        <v>1347</v>
      </c>
      <c r="E150" s="93">
        <f>UninsLT18to64[[#This Row],[Alternate Adj. Total]]*(UninsLT18to64[[#This Row],[Below 138% of FPL - Uninsured]]/UninsLT18to64[[#This Row],[Total]])</f>
        <v>959.27525099231275</v>
      </c>
      <c r="F150" s="96">
        <v>413</v>
      </c>
      <c r="G150" s="63">
        <v>384</v>
      </c>
      <c r="H150" s="93">
        <f>UninsLT18to64[[#This Row],[Alternate Adj. Total]]*(UninsLT18to64[[#This Row],[138 to 199% of FPL - Uninsured]]/UninsLT18to64[[#This Row],[Total]])</f>
        <v>273.46822300003566</v>
      </c>
      <c r="I150" s="96">
        <v>172</v>
      </c>
      <c r="J150" s="63">
        <v>972</v>
      </c>
      <c r="K150" s="93">
        <f>UninsLT18to64[[#This Row],[Alternate Adj. Total]]*(UninsLT18to64[[#This Row],[200 to 399% of FPL - Uninsured]]/UninsLT18to64[[#This Row],[Total]])</f>
        <v>692.21643946884035</v>
      </c>
      <c r="L150" s="96">
        <v>301</v>
      </c>
      <c r="M150" s="63">
        <v>434</v>
      </c>
      <c r="N150" s="93">
        <f>UninsLT18to64[[#This Row],[Alternate Adj. Total]]*(UninsLT18to64[[#This Row],[400% FPL and over - Uninsured]]/UninsLT18to64[[#This Row],[Total]])</f>
        <v>309.07606453649868</v>
      </c>
      <c r="O150" s="96">
        <v>222</v>
      </c>
      <c r="P150" s="64">
        <f>SUM(UninsLT18to64[[#This Row],[Below 138% of FPL - Uninsured]]+UninsLT18to64[[#This Row],[138 to 199% of FPL - Uninsured]]+UninsLT18to64[[#This Row],[200 to 399% of FPL - Uninsured]]+UninsLT18to64[[#This Row],[400% FPL and over - Uninsured]])</f>
        <v>3137</v>
      </c>
      <c r="Q150" s="83">
        <v>2.3212882349500186E-2</v>
      </c>
      <c r="R15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2116.8000000000002</v>
      </c>
      <c r="S150" s="70">
        <f>IF(UninsLT18to64[[#This Row],[Total]]&lt;1000,UninsLT18to64[[#This Row],[Total]],MAX(VLOOKUP(UninsLT18to64[[#This Row],[ZIP Code]],IRSzipToCntyTbl[#All],3,0),(UninsLT18to64[[#This Row],[Total]]-(109811*(VLOOKUP(UninsLT18to64[[#This Row],[ZIP Code]],CitizenshipTbl[#All],4,0))))*0.8))</f>
        <v>2234.0359779976875</v>
      </c>
      <c r="V150" s="71"/>
    </row>
    <row r="151" spans="1:22" x14ac:dyDescent="0.3">
      <c r="A151" s="62">
        <v>21219</v>
      </c>
      <c r="B151" s="63" t="str">
        <f>VLOOKUP(A151,ZipToCntyTbl[#All],2,0)</f>
        <v>Sparrows Point</v>
      </c>
      <c r="C151" s="63" t="str">
        <f>VLOOKUP(A151,ZipToCntyTbl[#All],3,0)</f>
        <v>Baltimore</v>
      </c>
      <c r="D151" s="63">
        <v>88</v>
      </c>
      <c r="E151" s="93">
        <f>UninsLT18to64[[#This Row],[Alternate Adj. Total]]*(UninsLT18to64[[#This Row],[Below 138% of FPL - Uninsured]]/UninsLT18to64[[#This Row],[Total]])</f>
        <v>88</v>
      </c>
      <c r="F151" s="96">
        <v>132</v>
      </c>
      <c r="G151" s="63">
        <v>0</v>
      </c>
      <c r="H151" s="93">
        <f>UninsLT18to64[[#This Row],[Alternate Adj. Total]]*(UninsLT18to64[[#This Row],[138 to 199% of FPL - Uninsured]]/UninsLT18to64[[#This Row],[Total]])</f>
        <v>0</v>
      </c>
      <c r="I151" s="96">
        <v>34</v>
      </c>
      <c r="J151" s="63">
        <v>193</v>
      </c>
      <c r="K151" s="93">
        <f>UninsLT18to64[[#This Row],[Alternate Adj. Total]]*(UninsLT18to64[[#This Row],[200 to 399% of FPL - Uninsured]]/UninsLT18to64[[#This Row],[Total]])</f>
        <v>193</v>
      </c>
      <c r="L151" s="96">
        <v>127</v>
      </c>
      <c r="M151" s="63">
        <v>103</v>
      </c>
      <c r="N151" s="93">
        <f>UninsLT18to64[[#This Row],[Alternate Adj. Total]]*(UninsLT18to64[[#This Row],[400% FPL and over - Uninsured]]/UninsLT18to64[[#This Row],[Total]])</f>
        <v>103</v>
      </c>
      <c r="O151" s="96">
        <v>84</v>
      </c>
      <c r="P151" s="64">
        <f>SUM(UninsLT18to64[[#This Row],[Below 138% of FPL - Uninsured]]+UninsLT18to64[[#This Row],[138 to 199% of FPL - Uninsured]]+UninsLT18to64[[#This Row],[200 to 399% of FPL - Uninsured]]+UninsLT18to64[[#This Row],[400% FPL and over - Uninsured]])</f>
        <v>384</v>
      </c>
      <c r="Q151" s="83">
        <v>0.18963232273537001</v>
      </c>
      <c r="R15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384</v>
      </c>
      <c r="S151" s="70">
        <f>IF(UninsLT18to64[[#This Row],[Total]]&lt;1000,UninsLT18to64[[#This Row],[Total]],MAX(VLOOKUP(UninsLT18to64[[#This Row],[ZIP Code]],IRSzipToCntyTbl[#All],3,0),(UninsLT18to64[[#This Row],[Total]]-(109811*(VLOOKUP(UninsLT18to64[[#This Row],[ZIP Code]],CitizenshipTbl[#All],4,0))))*0.8))</f>
        <v>384</v>
      </c>
      <c r="V151" s="71"/>
    </row>
    <row r="152" spans="1:22" x14ac:dyDescent="0.3">
      <c r="A152" s="62">
        <v>21220</v>
      </c>
      <c r="B152" s="63" t="str">
        <f>VLOOKUP(A152,ZipToCntyTbl[#All],2,0)</f>
        <v>Middle River</v>
      </c>
      <c r="C152" s="63" t="str">
        <f>VLOOKUP(A152,ZipToCntyTbl[#All],3,0)</f>
        <v>Baltimore</v>
      </c>
      <c r="D152" s="63">
        <v>966</v>
      </c>
      <c r="E152" s="93">
        <f>UninsLT18to64[[#This Row],[Alternate Adj. Total]]*(UninsLT18to64[[#This Row],[Below 138% of FPL - Uninsured]]/UninsLT18to64[[#This Row],[Total]])</f>
        <v>593.44155376412095</v>
      </c>
      <c r="F152" s="96">
        <v>538</v>
      </c>
      <c r="G152" s="63">
        <v>634</v>
      </c>
      <c r="H152" s="93">
        <f>UninsLT18to64[[#This Row],[Alternate Adj. Total]]*(UninsLT18to64[[#This Row],[138 to 199% of FPL - Uninsured]]/UninsLT18to64[[#This Row],[Total]])</f>
        <v>389.48441520336718</v>
      </c>
      <c r="I152" s="96">
        <v>424</v>
      </c>
      <c r="J152" s="63">
        <v>1216</v>
      </c>
      <c r="K152" s="93">
        <f>UninsLT18to64[[#This Row],[Alternate Adj. Total]]*(UninsLT18to64[[#This Row],[200 to 399% of FPL - Uninsured]]/UninsLT18to64[[#This Row],[Total]])</f>
        <v>747.02373641529095</v>
      </c>
      <c r="L152" s="96">
        <v>535</v>
      </c>
      <c r="M152" s="63">
        <v>911</v>
      </c>
      <c r="N152" s="93">
        <f>UninsLT18to64[[#This Row],[Alternate Adj. Total]]*(UninsLT18to64[[#This Row],[400% FPL and over - Uninsured]]/UninsLT18to64[[#This Row],[Total]])</f>
        <v>559.65347358086353</v>
      </c>
      <c r="O152" s="96">
        <v>474</v>
      </c>
      <c r="P152" s="64">
        <f>SUM(UninsLT18to64[[#This Row],[Below 138% of FPL - Uninsured]]+UninsLT18to64[[#This Row],[138 to 199% of FPL - Uninsured]]+UninsLT18to64[[#This Row],[200 to 399% of FPL - Uninsured]]+UninsLT18to64[[#This Row],[400% FPL and over - Uninsured]])</f>
        <v>3727</v>
      </c>
      <c r="Q152" s="83">
        <v>1.9538184043569114E-2</v>
      </c>
      <c r="R15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1995.2</v>
      </c>
      <c r="S152" s="70">
        <f>IF(UninsLT18to64[[#This Row],[Total]]&lt;1000,UninsLT18to64[[#This Row],[Total]],MAX(VLOOKUP(UninsLT18to64[[#This Row],[ZIP Code]],IRSzipToCntyTbl[#All],3,0),(UninsLT18to64[[#This Row],[Total]]-(109811*(VLOOKUP(UninsLT18to64[[#This Row],[ZIP Code]],CitizenshipTbl[#All],4,0))))*0.8))</f>
        <v>2289.6031789636427</v>
      </c>
      <c r="V152" s="71"/>
    </row>
    <row r="153" spans="1:22" x14ac:dyDescent="0.3">
      <c r="A153" s="62">
        <v>21221</v>
      </c>
      <c r="B153" s="63" t="str">
        <f>VLOOKUP(A153,ZipToCntyTbl[#All],2,0)</f>
        <v>Essex</v>
      </c>
      <c r="C153" s="63" t="str">
        <f>VLOOKUP(A153,ZipToCntyTbl[#All],3,0)</f>
        <v>Baltimore</v>
      </c>
      <c r="D153" s="63">
        <v>1037</v>
      </c>
      <c r="E153" s="93">
        <f>UninsLT18to64[[#This Row],[Alternate Adj. Total]]*(UninsLT18to64[[#This Row],[Below 138% of FPL - Uninsured]]/UninsLT18to64[[#This Row],[Total]])</f>
        <v>707.53739261710541</v>
      </c>
      <c r="F153" s="96">
        <v>671</v>
      </c>
      <c r="G153" s="63">
        <v>516</v>
      </c>
      <c r="H153" s="93">
        <f>UninsLT18to64[[#This Row],[Alternate Adj. Total]]*(UninsLT18to64[[#This Row],[138 to 199% of FPL - Uninsured]]/UninsLT18to64[[#This Row],[Total]])</f>
        <v>352.06296488951432</v>
      </c>
      <c r="I153" s="96">
        <v>302</v>
      </c>
      <c r="J153" s="63">
        <v>1524</v>
      </c>
      <c r="K153" s="93">
        <f>UninsLT18to64[[#This Row],[Alternate Adj. Total]]*(UninsLT18to64[[#This Row],[200 to 399% of FPL - Uninsured]]/UninsLT18to64[[#This Row],[Total]])</f>
        <v>1039.8138730457749</v>
      </c>
      <c r="L153" s="96">
        <v>466</v>
      </c>
      <c r="M153" s="63">
        <v>828</v>
      </c>
      <c r="N153" s="93">
        <f>UninsLT18to64[[#This Row],[Alternate Adj. Total]]*(UninsLT18to64[[#This Row],[400% FPL and over - Uninsured]]/UninsLT18to64[[#This Row],[Total]])</f>
        <v>564.93824598549975</v>
      </c>
      <c r="O153" s="96">
        <v>286</v>
      </c>
      <c r="P153" s="64">
        <f>SUM(UninsLT18to64[[#This Row],[Below 138% of FPL - Uninsured]]+UninsLT18to64[[#This Row],[138 to 199% of FPL - Uninsured]]+UninsLT18to64[[#This Row],[200 to 399% of FPL - Uninsured]]+UninsLT18to64[[#This Row],[400% FPL and over - Uninsured]])</f>
        <v>3905</v>
      </c>
      <c r="Q153" s="83">
        <v>1.8647583080763658E-2</v>
      </c>
      <c r="R15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2468.8000000000002</v>
      </c>
      <c r="S153" s="70">
        <f>IF(UninsLT18to64[[#This Row],[Total]]&lt;1000,UninsLT18to64[[#This Row],[Total]],MAX(VLOOKUP(UninsLT18to64[[#This Row],[ZIP Code]],IRSzipToCntyTbl[#All],3,0),(UninsLT18to64[[#This Row],[Total]]-(109811*(VLOOKUP(UninsLT18to64[[#This Row],[ZIP Code]],CitizenshipTbl[#All],4,0))))*0.8))</f>
        <v>2664.3524765378943</v>
      </c>
      <c r="V153" s="71"/>
    </row>
    <row r="154" spans="1:22" x14ac:dyDescent="0.3">
      <c r="A154" s="62">
        <v>21222</v>
      </c>
      <c r="B154" s="63" t="str">
        <f>VLOOKUP(A154,ZipToCntyTbl[#All],2,0)</f>
        <v>Dundalk</v>
      </c>
      <c r="C154" s="63" t="str">
        <f>VLOOKUP(A154,ZipToCntyTbl[#All],3,0)</f>
        <v>Baltimore</v>
      </c>
      <c r="D154" s="63">
        <v>1661</v>
      </c>
      <c r="E154" s="93">
        <f>UninsLT18to64[[#This Row],[Alternate Adj. Total]]*(UninsLT18to64[[#This Row],[Below 138% of FPL - Uninsured]]/UninsLT18to64[[#This Row],[Total]])</f>
        <v>1163.5754294719791</v>
      </c>
      <c r="F154" s="96">
        <v>761</v>
      </c>
      <c r="G154" s="63">
        <v>716</v>
      </c>
      <c r="H154" s="93">
        <f>UninsLT18to64[[#This Row],[Alternate Adj. Total]]*(UninsLT18to64[[#This Row],[138 to 199% of FPL - Uninsured]]/UninsLT18to64[[#This Row],[Total]])</f>
        <v>501.57736755083499</v>
      </c>
      <c r="I154" s="96">
        <v>287</v>
      </c>
      <c r="J154" s="63">
        <v>1341</v>
      </c>
      <c r="K154" s="93">
        <f>UninsLT18to64[[#This Row],[Alternate Adj. Total]]*(UninsLT18to64[[#This Row],[200 to 399% of FPL - Uninsured]]/UninsLT18to64[[#This Row],[Total]])</f>
        <v>939.40677358333767</v>
      </c>
      <c r="L154" s="96">
        <v>346</v>
      </c>
      <c r="M154" s="63">
        <v>711</v>
      </c>
      <c r="N154" s="93">
        <f>UninsLT18to64[[#This Row],[Alternate Adj. Total]]*(UninsLT18to64[[#This Row],[400% FPL and over - Uninsured]]/UninsLT18to64[[#This Row],[Total]])</f>
        <v>498.074732302575</v>
      </c>
      <c r="O154" s="96">
        <v>313</v>
      </c>
      <c r="P154" s="64">
        <f>SUM(UninsLT18to64[[#This Row],[Below 138% of FPL - Uninsured]]+UninsLT18to64[[#This Row],[138 to 199% of FPL - Uninsured]]+UninsLT18to64[[#This Row],[200 to 399% of FPL - Uninsured]]+UninsLT18to64[[#This Row],[400% FPL and over - Uninsured]])</f>
        <v>4429</v>
      </c>
      <c r="Q154" s="83">
        <v>1.6441366432689564E-2</v>
      </c>
      <c r="R15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2915.2000000000003</v>
      </c>
      <c r="S154" s="70">
        <f>IF(UninsLT18to64[[#This Row],[Total]]&lt;1000,UninsLT18to64[[#This Row],[Total]],MAX(VLOOKUP(UninsLT18to64[[#This Row],[ZIP Code]],IRSzipToCntyTbl[#All],3,0),(UninsLT18to64[[#This Row],[Total]]-(109811*(VLOOKUP(UninsLT18to64[[#This Row],[ZIP Code]],CitizenshipTbl[#All],4,0))))*0.8))</f>
        <v>3102.6343029087266</v>
      </c>
      <c r="V154" s="71"/>
    </row>
    <row r="155" spans="1:22" x14ac:dyDescent="0.3">
      <c r="A155" s="62">
        <v>21223</v>
      </c>
      <c r="B155" s="63" t="str">
        <f>VLOOKUP(A155,ZipToCntyTbl[#All],2,0)</f>
        <v>Baltimore</v>
      </c>
      <c r="C155" s="63" t="str">
        <f>VLOOKUP(A155,ZipToCntyTbl[#All],3,0)</f>
        <v>Baltimore City</v>
      </c>
      <c r="D155" s="63">
        <v>1045</v>
      </c>
      <c r="E155" s="93">
        <f>UninsLT18to64[[#This Row],[Alternate Adj. Total]]*(UninsLT18to64[[#This Row],[Below 138% of FPL - Uninsured]]/UninsLT18to64[[#This Row],[Total]])</f>
        <v>709.35592879507942</v>
      </c>
      <c r="F155" s="96">
        <v>462</v>
      </c>
      <c r="G155" s="63">
        <v>394</v>
      </c>
      <c r="H155" s="93">
        <f>UninsLT18to64[[#This Row],[Alternate Adj. Total]]*(UninsLT18to64[[#This Row],[138 to 199% of FPL - Uninsured]]/UninsLT18to64[[#This Row],[Total]])</f>
        <v>267.45094348828832</v>
      </c>
      <c r="I155" s="96">
        <v>200</v>
      </c>
      <c r="J155" s="63">
        <v>716</v>
      </c>
      <c r="K155" s="93">
        <f>UninsLT18to64[[#This Row],[Alternate Adj. Total]]*(UninsLT18to64[[#This Row],[200 to 399% of FPL - Uninsured]]/UninsLT18to64[[#This Row],[Total]])</f>
        <v>486.02760288734623</v>
      </c>
      <c r="L155" s="96">
        <v>307</v>
      </c>
      <c r="M155" s="63">
        <v>267</v>
      </c>
      <c r="N155" s="93">
        <f>UninsLT18to64[[#This Row],[Alternate Adj. Total]]*(UninsLT18to64[[#This Row],[400% FPL and over - Uninsured]]/UninsLT18to64[[#This Row],[Total]])</f>
        <v>181.24213683089587</v>
      </c>
      <c r="O155" s="96">
        <v>143</v>
      </c>
      <c r="P155" s="64">
        <f>SUM(UninsLT18to64[[#This Row],[Below 138% of FPL - Uninsured]]+UninsLT18to64[[#This Row],[138 to 199% of FPL - Uninsured]]+UninsLT18to64[[#This Row],[200 to 399% of FPL - Uninsured]]+UninsLT18to64[[#This Row],[400% FPL and over - Uninsured]])</f>
        <v>2422</v>
      </c>
      <c r="Q155" s="83">
        <v>3.0065570574063619E-2</v>
      </c>
      <c r="R15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1519.2</v>
      </c>
      <c r="S155" s="70">
        <f>IF(UninsLT18to64[[#This Row],[Total]]&lt;1000,UninsLT18to64[[#This Row],[Total]],MAX(VLOOKUP(UninsLT18to64[[#This Row],[ZIP Code]],IRSzipToCntyTbl[#All],3,0),(UninsLT18to64[[#This Row],[Total]]-(109811*(VLOOKUP(UninsLT18to64[[#This Row],[ZIP Code]],CitizenshipTbl[#All],4,0))))*0.8))</f>
        <v>1644.0766120016099</v>
      </c>
      <c r="V155" s="71"/>
    </row>
    <row r="156" spans="1:22" x14ac:dyDescent="0.3">
      <c r="A156" s="62">
        <v>21224</v>
      </c>
      <c r="B156" s="63" t="str">
        <f>VLOOKUP(A156,ZipToCntyTbl[#All],2,0)</f>
        <v>Baltimore</v>
      </c>
      <c r="C156" s="63" t="str">
        <f>VLOOKUP(A156,ZipToCntyTbl[#All],3,0)</f>
        <v>Baltimore City</v>
      </c>
      <c r="D156" s="63">
        <v>2988</v>
      </c>
      <c r="E156" s="93">
        <f>UninsLT18to64[[#This Row],[Alternate Adj. Total]]*(UninsLT18to64[[#This Row],[Below 138% of FPL - Uninsured]]/UninsLT18to64[[#This Row],[Total]])</f>
        <v>1466.144595062088</v>
      </c>
      <c r="F156" s="96">
        <v>1101</v>
      </c>
      <c r="G156" s="63">
        <v>1123</v>
      </c>
      <c r="H156" s="93">
        <f>UninsLT18to64[[#This Row],[Alternate Adj. Total]]*(UninsLT18to64[[#This Row],[138 to 199% of FPL - Uninsured]]/UninsLT18to64[[#This Row],[Total]])</f>
        <v>551.03091708658803</v>
      </c>
      <c r="I156" s="96">
        <v>365</v>
      </c>
      <c r="J156" s="63">
        <v>2385</v>
      </c>
      <c r="K156" s="93">
        <f>UninsLT18to64[[#This Row],[Alternate Adj. Total]]*(UninsLT18to64[[#This Row],[200 to 399% of FPL - Uninsured]]/UninsLT18to64[[#This Row],[Total]])</f>
        <v>1170.2660171429318</v>
      </c>
      <c r="L156" s="96">
        <v>675</v>
      </c>
      <c r="M156" s="63">
        <v>1021</v>
      </c>
      <c r="N156" s="93">
        <f>UninsLT18to64[[#This Row],[Alternate Adj. Total]]*(UninsLT18to64[[#This Row],[400% FPL and over - Uninsured]]/UninsLT18to64[[#This Row],[Total]])</f>
        <v>500.98180440374563</v>
      </c>
      <c r="O156" s="96">
        <v>395</v>
      </c>
      <c r="P156" s="64">
        <f>SUM(UninsLT18to64[[#This Row],[Below 138% of FPL - Uninsured]]+UninsLT18to64[[#This Row],[138 to 199% of FPL - Uninsured]]+UninsLT18to64[[#This Row],[200 to 399% of FPL - Uninsured]]+UninsLT18to64[[#This Row],[400% FPL and over - Uninsured]])</f>
        <v>7517</v>
      </c>
      <c r="Q156" s="83">
        <v>9.6872172316591829E-3</v>
      </c>
      <c r="R15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2699.2000000000003</v>
      </c>
      <c r="S156" s="70">
        <f>IF(UninsLT18to64[[#This Row],[Total]]&lt;1000,UninsLT18to64[[#This Row],[Total]],MAX(VLOOKUP(UninsLT18to64[[#This Row],[ZIP Code]],IRSzipToCntyTbl[#All],3,0),(UninsLT18to64[[#This Row],[Total]]-(109811*(VLOOKUP(UninsLT18to64[[#This Row],[ZIP Code]],CitizenshipTbl[#All],4,0))))*0.8))</f>
        <v>3688.4233336953534</v>
      </c>
      <c r="V156" s="71"/>
    </row>
    <row r="157" spans="1:22" x14ac:dyDescent="0.3">
      <c r="A157" s="62">
        <v>21225</v>
      </c>
      <c r="B157" s="63" t="str">
        <f>VLOOKUP(A157,ZipToCntyTbl[#All],2,0)</f>
        <v>Brooklyn</v>
      </c>
      <c r="C157" s="63" t="str">
        <f>VLOOKUP(A157,ZipToCntyTbl[#All],3,0)</f>
        <v>Baltimore City</v>
      </c>
      <c r="D157" s="63">
        <v>1211</v>
      </c>
      <c r="E157" s="93">
        <f>UninsLT18to64[[#This Row],[Alternate Adj. Total]]*(UninsLT18to64[[#This Row],[Below 138% of FPL - Uninsured]]/UninsLT18to64[[#This Row],[Total]])</f>
        <v>782.19276646712376</v>
      </c>
      <c r="F157" s="96">
        <v>463</v>
      </c>
      <c r="G157" s="63">
        <v>793</v>
      </c>
      <c r="H157" s="93">
        <f>UninsLT18to64[[#This Row],[Alternate Adj. Total]]*(UninsLT18to64[[#This Row],[138 to 199% of FPL - Uninsured]]/UninsLT18to64[[#This Row],[Total]])</f>
        <v>512.20385120431808</v>
      </c>
      <c r="I157" s="96">
        <v>390</v>
      </c>
      <c r="J157" s="63">
        <v>797</v>
      </c>
      <c r="K157" s="93">
        <f>UninsLT18to64[[#This Row],[Alternate Adj. Total]]*(UninsLT18to64[[#This Row],[200 to 399% of FPL - Uninsured]]/UninsLT18to64[[#This Row],[Total]])</f>
        <v>514.78747718769421</v>
      </c>
      <c r="L157" s="96">
        <v>259</v>
      </c>
      <c r="M157" s="63">
        <v>466</v>
      </c>
      <c r="N157" s="93">
        <f>UninsLT18to64[[#This Row],[Alternate Adj. Total]]*(UninsLT18to64[[#This Row],[400% FPL and over - Uninsured]]/UninsLT18to64[[#This Row],[Total]])</f>
        <v>300.99242706331927</v>
      </c>
      <c r="O157" s="96">
        <v>241</v>
      </c>
      <c r="P157" s="64">
        <f>SUM(UninsLT18to64[[#This Row],[Below 138% of FPL - Uninsured]]+UninsLT18to64[[#This Row],[138 to 199% of FPL - Uninsured]]+UninsLT18to64[[#This Row],[200 to 399% of FPL - Uninsured]]+UninsLT18to64[[#This Row],[400% FPL and over - Uninsured]])</f>
        <v>3267</v>
      </c>
      <c r="Q157" s="83">
        <v>2.2289198631889221E-2</v>
      </c>
      <c r="R15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1896</v>
      </c>
      <c r="S157" s="70">
        <f>IF(UninsLT18to64[[#This Row],[Total]]&lt;1000,UninsLT18to64[[#This Row],[Total]],MAX(VLOOKUP(UninsLT18to64[[#This Row],[ZIP Code]],IRSzipToCntyTbl[#All],3,0),(UninsLT18to64[[#This Row],[Total]]-(109811*(VLOOKUP(UninsLT18to64[[#This Row],[ZIP Code]],CitizenshipTbl[#All],4,0))))*0.8))</f>
        <v>2110.1765219224553</v>
      </c>
      <c r="V157" s="71"/>
    </row>
    <row r="158" spans="1:22" x14ac:dyDescent="0.3">
      <c r="A158" s="62">
        <v>21226</v>
      </c>
      <c r="B158" s="63" t="str">
        <f>VLOOKUP(A158,ZipToCntyTbl[#All],2,0)</f>
        <v>Curtis Bay</v>
      </c>
      <c r="C158" s="63" t="str">
        <f>VLOOKUP(A158,ZipToCntyTbl[#All],3,0)</f>
        <v>Anne Arundel</v>
      </c>
      <c r="D158" s="63">
        <v>78</v>
      </c>
      <c r="E158" s="93">
        <f>UninsLT18to64[[#This Row],[Alternate Adj. Total]]*(UninsLT18to64[[#This Row],[Below 138% of FPL - Uninsured]]/UninsLT18to64[[#This Row],[Total]])</f>
        <v>78</v>
      </c>
      <c r="F158" s="96">
        <v>129</v>
      </c>
      <c r="G158" s="63">
        <v>58</v>
      </c>
      <c r="H158" s="93">
        <f>UninsLT18to64[[#This Row],[Alternate Adj. Total]]*(UninsLT18to64[[#This Row],[138 to 199% of FPL - Uninsured]]/UninsLT18to64[[#This Row],[Total]])</f>
        <v>58</v>
      </c>
      <c r="I158" s="96">
        <v>79</v>
      </c>
      <c r="J158" s="63">
        <v>97</v>
      </c>
      <c r="K158" s="93">
        <f>UninsLT18to64[[#This Row],[Alternate Adj. Total]]*(UninsLT18to64[[#This Row],[200 to 399% of FPL - Uninsured]]/UninsLT18to64[[#This Row],[Total]])</f>
        <v>97</v>
      </c>
      <c r="L158" s="96">
        <v>123</v>
      </c>
      <c r="M158" s="63">
        <v>23</v>
      </c>
      <c r="N158" s="93">
        <f>UninsLT18to64[[#This Row],[Alternate Adj. Total]]*(UninsLT18to64[[#This Row],[400% FPL and over - Uninsured]]/UninsLT18to64[[#This Row],[Total]])</f>
        <v>23</v>
      </c>
      <c r="O158" s="96">
        <v>54</v>
      </c>
      <c r="P158" s="64">
        <f>SUM(UninsLT18to64[[#This Row],[Below 138% of FPL - Uninsured]]+UninsLT18to64[[#This Row],[138 to 199% of FPL - Uninsured]]+UninsLT18to64[[#This Row],[200 to 399% of FPL - Uninsured]]+UninsLT18to64[[#This Row],[400% FPL and over - Uninsured]])</f>
        <v>256</v>
      </c>
      <c r="Q158" s="83">
        <v>0.28444848410305501</v>
      </c>
      <c r="R15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256</v>
      </c>
      <c r="S158" s="70">
        <f>IF(UninsLT18to64[[#This Row],[Total]]&lt;1000,UninsLT18to64[[#This Row],[Total]],MAX(VLOOKUP(UninsLT18to64[[#This Row],[ZIP Code]],IRSzipToCntyTbl[#All],3,0),(UninsLT18to64[[#This Row],[Total]]-(109811*(VLOOKUP(UninsLT18to64[[#This Row],[ZIP Code]],CitizenshipTbl[#All],4,0))))*0.8))</f>
        <v>256</v>
      </c>
      <c r="V158" s="71"/>
    </row>
    <row r="159" spans="1:22" x14ac:dyDescent="0.3">
      <c r="A159" s="62">
        <v>21227</v>
      </c>
      <c r="B159" s="63" t="str">
        <f>VLOOKUP(A159,ZipToCntyTbl[#All],2,0)</f>
        <v>Halethorpe</v>
      </c>
      <c r="C159" s="63" t="str">
        <f>VLOOKUP(A159,ZipToCntyTbl[#All],3,0)</f>
        <v>Baltimore</v>
      </c>
      <c r="D159" s="63">
        <v>912</v>
      </c>
      <c r="E159" s="93">
        <f>UninsLT18to64[[#This Row],[Alternate Adj. Total]]*(UninsLT18to64[[#This Row],[Below 138% of FPL - Uninsured]]/UninsLT18to64[[#This Row],[Total]])</f>
        <v>551.12653586715885</v>
      </c>
      <c r="F159" s="96">
        <v>455</v>
      </c>
      <c r="G159" s="63">
        <v>648</v>
      </c>
      <c r="H159" s="93">
        <f>UninsLT18to64[[#This Row],[Alternate Adj. Total]]*(UninsLT18to64[[#This Row],[138 to 199% of FPL - Uninsured]]/UninsLT18to64[[#This Row],[Total]])</f>
        <v>391.58990706350755</v>
      </c>
      <c r="I159" s="96">
        <v>326</v>
      </c>
      <c r="J159" s="63">
        <v>959</v>
      </c>
      <c r="K159" s="93">
        <f>UninsLT18to64[[#This Row],[Alternate Adj. Total]]*(UninsLT18to64[[#This Row],[200 to 399% of FPL - Uninsured]]/UninsLT18to64[[#This Row],[Total]])</f>
        <v>579.52889023750583</v>
      </c>
      <c r="L159" s="96">
        <v>289</v>
      </c>
      <c r="M159" s="63">
        <v>455</v>
      </c>
      <c r="N159" s="93">
        <f>UninsLT18to64[[#This Row],[Alternate Adj. Total]]*(UninsLT18to64[[#This Row],[400% FPL and over - Uninsured]]/UninsLT18to64[[#This Row],[Total]])</f>
        <v>274.95896252144439</v>
      </c>
      <c r="O159" s="96">
        <v>266</v>
      </c>
      <c r="P159" s="64">
        <f>SUM(UninsLT18to64[[#This Row],[Below 138% of FPL - Uninsured]]+UninsLT18to64[[#This Row],[138 to 199% of FPL - Uninsured]]+UninsLT18to64[[#This Row],[200 to 399% of FPL - Uninsured]]+UninsLT18to64[[#This Row],[400% FPL and over - Uninsured]])</f>
        <v>2974</v>
      </c>
      <c r="Q159" s="83">
        <v>2.4485141873026927E-2</v>
      </c>
      <c r="R15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1549.6000000000001</v>
      </c>
      <c r="S159" s="70">
        <f>IF(UninsLT18to64[[#This Row],[Total]]&lt;1000,UninsLT18to64[[#This Row],[Total]],MAX(VLOOKUP(UninsLT18to64[[#This Row],[ZIP Code]],IRSzipToCntyTbl[#All],3,0),(UninsLT18to64[[#This Row],[Total]]-(109811*(VLOOKUP(UninsLT18to64[[#This Row],[ZIP Code]],CitizenshipTbl[#All],4,0))))*0.8))</f>
        <v>1797.2042956896166</v>
      </c>
      <c r="V159" s="71"/>
    </row>
    <row r="160" spans="1:22" x14ac:dyDescent="0.3">
      <c r="A160" s="62">
        <v>21228</v>
      </c>
      <c r="B160" s="63" t="str">
        <f>VLOOKUP(A160,ZipToCntyTbl[#All],2,0)</f>
        <v>Catonsville</v>
      </c>
      <c r="C160" s="63" t="str">
        <f>VLOOKUP(A160,ZipToCntyTbl[#All],3,0)</f>
        <v>Baltimore</v>
      </c>
      <c r="D160" s="63">
        <v>680</v>
      </c>
      <c r="E160" s="93">
        <f>UninsLT18to64[[#This Row],[Alternate Adj. Total]]*(UninsLT18to64[[#This Row],[Below 138% of FPL - Uninsured]]/UninsLT18to64[[#This Row],[Total]])</f>
        <v>438.93738787600421</v>
      </c>
      <c r="F160" s="96">
        <v>514</v>
      </c>
      <c r="G160" s="63">
        <v>403</v>
      </c>
      <c r="H160" s="93">
        <f>UninsLT18to64[[#This Row],[Alternate Adj. Total]]*(UninsLT18to64[[#This Row],[138 to 199% of FPL - Uninsured]]/UninsLT18to64[[#This Row],[Total]])</f>
        <v>260.13495193239658</v>
      </c>
      <c r="I160" s="96">
        <v>329</v>
      </c>
      <c r="J160" s="63">
        <v>1028</v>
      </c>
      <c r="K160" s="93">
        <f>UninsLT18to64[[#This Row],[Alternate Adj. Total]]*(UninsLT18to64[[#This Row],[200 to 399% of FPL - Uninsured]]/UninsLT18to64[[#This Row],[Total]])</f>
        <v>663.57005108313581</v>
      </c>
      <c r="L160" s="96">
        <v>361</v>
      </c>
      <c r="M160" s="63">
        <v>686</v>
      </c>
      <c r="N160" s="93">
        <f>UninsLT18to64[[#This Row],[Alternate Adj. Total]]*(UninsLT18to64[[#This Row],[400% FPL and over - Uninsured]]/UninsLT18to64[[#This Row],[Total]])</f>
        <v>442.81036482785129</v>
      </c>
      <c r="O160" s="96">
        <v>298</v>
      </c>
      <c r="P160" s="64">
        <f>SUM(UninsLT18to64[[#This Row],[Below 138% of FPL - Uninsured]]+UninsLT18to64[[#This Row],[138 to 199% of FPL - Uninsured]]+UninsLT18to64[[#This Row],[200 to 399% of FPL - Uninsured]]+UninsLT18to64[[#This Row],[400% FPL and over - Uninsured]])</f>
        <v>2797</v>
      </c>
      <c r="Q160" s="83">
        <v>2.6034612774537749E-2</v>
      </c>
      <c r="R16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1621.6000000000001</v>
      </c>
      <c r="S160" s="70">
        <f>IF(UninsLT18to64[[#This Row],[Total]]&lt;1000,UninsLT18to64[[#This Row],[Total]],MAX(VLOOKUP(UninsLT18to64[[#This Row],[ZIP Code]],IRSzipToCntyTbl[#All],3,0),(UninsLT18to64[[#This Row],[Total]]-(109811*(VLOOKUP(UninsLT18to64[[#This Row],[ZIP Code]],CitizenshipTbl[#All],4,0))))*0.8))</f>
        <v>1805.4527557193878</v>
      </c>
      <c r="V160" s="71"/>
    </row>
    <row r="161" spans="1:22" x14ac:dyDescent="0.3">
      <c r="A161" s="62">
        <v>21229</v>
      </c>
      <c r="B161" s="63" t="str">
        <f>VLOOKUP(A161,ZipToCntyTbl[#All],2,0)</f>
        <v>Baltimore</v>
      </c>
      <c r="C161" s="63" t="str">
        <f>VLOOKUP(A161,ZipToCntyTbl[#All],3,0)</f>
        <v>Baltimore City</v>
      </c>
      <c r="D161" s="63">
        <v>1031</v>
      </c>
      <c r="E161" s="93">
        <f>UninsLT18to64[[#This Row],[Alternate Adj. Total]]*(UninsLT18to64[[#This Row],[Below 138% of FPL - Uninsured]]/UninsLT18to64[[#This Row],[Total]])</f>
        <v>791.61520242571601</v>
      </c>
      <c r="F161" s="96">
        <v>426</v>
      </c>
      <c r="G161" s="63">
        <v>612</v>
      </c>
      <c r="H161" s="93">
        <f>UninsLT18to64[[#This Row],[Alternate Adj. Total]]*(UninsLT18to64[[#This Row],[138 to 199% of FPL - Uninsured]]/UninsLT18to64[[#This Row],[Total]])</f>
        <v>469.9015556591059</v>
      </c>
      <c r="I161" s="96">
        <v>222</v>
      </c>
      <c r="J161" s="63">
        <v>1393</v>
      </c>
      <c r="K161" s="93">
        <f>UninsLT18to64[[#This Row],[Alternate Adj. Total]]*(UninsLT18to64[[#This Row],[200 to 399% of FPL - Uninsured]]/UninsLT18to64[[#This Row],[Total]])</f>
        <v>1069.563508224076</v>
      </c>
      <c r="L161" s="96">
        <v>584</v>
      </c>
      <c r="M161" s="63">
        <v>399</v>
      </c>
      <c r="N161" s="93">
        <f>UninsLT18to64[[#This Row],[Alternate Adj. Total]]*(UninsLT18to64[[#This Row],[400% FPL and over - Uninsured]]/UninsLT18to64[[#This Row],[Total]])</f>
        <v>306.35738677775043</v>
      </c>
      <c r="O161" s="96">
        <v>162</v>
      </c>
      <c r="P161" s="64">
        <f>SUM(UninsLT18to64[[#This Row],[Below 138% of FPL - Uninsured]]+UninsLT18to64[[#This Row],[138 to 199% of FPL - Uninsured]]+UninsLT18to64[[#This Row],[200 to 399% of FPL - Uninsured]]+UninsLT18to64[[#This Row],[400% FPL and over - Uninsured]])</f>
        <v>3435</v>
      </c>
      <c r="Q161" s="83">
        <v>2.1199071886574113E-2</v>
      </c>
      <c r="R16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2590.4</v>
      </c>
      <c r="S161" s="70">
        <f>IF(UninsLT18to64[[#This Row],[Total]]&lt;1000,UninsLT18to64[[#This Row],[Total]],MAX(VLOOKUP(UninsLT18to64[[#This Row],[ZIP Code]],IRSzipToCntyTbl[#All],3,0),(UninsLT18to64[[#This Row],[Total]]-(109811*(VLOOKUP(UninsLT18to64[[#This Row],[ZIP Code]],CitizenshipTbl[#All],4,0))))*0.8))</f>
        <v>2637.4376530866484</v>
      </c>
      <c r="V161" s="71"/>
    </row>
    <row r="162" spans="1:22" x14ac:dyDescent="0.3">
      <c r="A162" s="62">
        <v>21230</v>
      </c>
      <c r="B162" s="63" t="str">
        <f>VLOOKUP(A162,ZipToCntyTbl[#All],2,0)</f>
        <v>Baltimore</v>
      </c>
      <c r="C162" s="63" t="str">
        <f>VLOOKUP(A162,ZipToCntyTbl[#All],3,0)</f>
        <v>Baltimore City</v>
      </c>
      <c r="D162" s="63">
        <v>653</v>
      </c>
      <c r="E162" s="93">
        <f>UninsLT18to64[[#This Row],[Alternate Adj. Total]]*(UninsLT18to64[[#This Row],[Below 138% of FPL - Uninsured]]/UninsLT18to64[[#This Row],[Total]])</f>
        <v>419.17689489706669</v>
      </c>
      <c r="F162" s="96">
        <v>360</v>
      </c>
      <c r="G162" s="63">
        <v>520</v>
      </c>
      <c r="H162" s="93">
        <f>UninsLT18to64[[#This Row],[Alternate Adj. Total]]*(UninsLT18to64[[#This Row],[138 to 199% of FPL - Uninsured]]/UninsLT18to64[[#This Row],[Total]])</f>
        <v>333.8008963958265</v>
      </c>
      <c r="I162" s="96">
        <v>209</v>
      </c>
      <c r="J162" s="63">
        <v>650</v>
      </c>
      <c r="K162" s="93">
        <f>UninsLT18to64[[#This Row],[Alternate Adj. Total]]*(UninsLT18to64[[#This Row],[200 to 399% of FPL - Uninsured]]/UninsLT18to64[[#This Row],[Total]])</f>
        <v>417.25112049478304</v>
      </c>
      <c r="L162" s="96">
        <v>247</v>
      </c>
      <c r="M162" s="63">
        <v>396</v>
      </c>
      <c r="N162" s="93">
        <f>UninsLT18to64[[#This Row],[Alternate Adj. Total]]*(UninsLT18to64[[#This Row],[400% FPL and over - Uninsured]]/UninsLT18to64[[#This Row],[Total]])</f>
        <v>254.20222110143709</v>
      </c>
      <c r="O162" s="96">
        <v>156</v>
      </c>
      <c r="P162" s="64">
        <f>SUM(UninsLT18to64[[#This Row],[Below 138% of FPL - Uninsured]]+UninsLT18to64[[#This Row],[138 to 199% of FPL - Uninsured]]+UninsLT18to64[[#This Row],[200 to 399% of FPL - Uninsured]]+UninsLT18to64[[#This Row],[400% FPL and over - Uninsured]])</f>
        <v>2219</v>
      </c>
      <c r="Q162" s="83">
        <v>3.2816048639198778E-2</v>
      </c>
      <c r="R16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1275.2</v>
      </c>
      <c r="S162" s="70">
        <f>IF(UninsLT18to64[[#This Row],[Total]]&lt;1000,UninsLT18to64[[#This Row],[Total]],MAX(VLOOKUP(UninsLT18to64[[#This Row],[ZIP Code]],IRSzipToCntyTbl[#All],3,0),(UninsLT18to64[[#This Row],[Total]]-(109811*(VLOOKUP(UninsLT18to64[[#This Row],[ZIP Code]],CitizenshipTbl[#All],4,0))))*0.8))</f>
        <v>1424.4311328891133</v>
      </c>
      <c r="V162" s="71"/>
    </row>
    <row r="163" spans="1:22" x14ac:dyDescent="0.3">
      <c r="A163" s="62">
        <v>21231</v>
      </c>
      <c r="B163" s="63" t="str">
        <f>VLOOKUP(A163,ZipToCntyTbl[#All],2,0)</f>
        <v>Baltimore</v>
      </c>
      <c r="C163" s="63" t="str">
        <f>VLOOKUP(A163,ZipToCntyTbl[#All],3,0)</f>
        <v>Baltimore City</v>
      </c>
      <c r="D163" s="63">
        <v>747</v>
      </c>
      <c r="E163" s="93">
        <f>UninsLT18to64[[#This Row],[Alternate Adj. Total]]*(UninsLT18to64[[#This Row],[Below 138% of FPL - Uninsured]]/UninsLT18to64[[#This Row],[Total]])</f>
        <v>491.05133775248572</v>
      </c>
      <c r="F163" s="96">
        <v>475</v>
      </c>
      <c r="G163" s="63">
        <v>169</v>
      </c>
      <c r="H163" s="93">
        <f>UninsLT18to64[[#This Row],[Alternate Adj. Total]]*(UninsLT18to64[[#This Row],[138 to 199% of FPL - Uninsured]]/UninsLT18to64[[#This Row],[Total]])</f>
        <v>111.09461322646597</v>
      </c>
      <c r="I163" s="96">
        <v>117</v>
      </c>
      <c r="J163" s="63">
        <v>126</v>
      </c>
      <c r="K163" s="93">
        <f>UninsLT18to64[[#This Row],[Alternate Adj. Total]]*(UninsLT18to64[[#This Row],[200 to 399% of FPL - Uninsured]]/UninsLT18to64[[#This Row],[Total]])</f>
        <v>82.82793648837108</v>
      </c>
      <c r="L163" s="96">
        <v>84</v>
      </c>
      <c r="M163" s="63">
        <v>284</v>
      </c>
      <c r="N163" s="93">
        <f>UninsLT18to64[[#This Row],[Alternate Adj. Total]]*(UninsLT18to64[[#This Row],[400% FPL and over - Uninsured]]/UninsLT18to64[[#This Row],[Total]])</f>
        <v>186.69153938648719</v>
      </c>
      <c r="O163" s="96">
        <v>230</v>
      </c>
      <c r="P163" s="64">
        <f>SUM(UninsLT18to64[[#This Row],[Below 138% of FPL - Uninsured]]+UninsLT18to64[[#This Row],[138 to 199% of FPL - Uninsured]]+UninsLT18to64[[#This Row],[200 to 399% of FPL - Uninsured]]+UninsLT18to64[[#This Row],[400% FPL and over - Uninsured]])</f>
        <v>1326</v>
      </c>
      <c r="Q163" s="83">
        <v>5.4916147760469144E-2</v>
      </c>
      <c r="R16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791.2</v>
      </c>
      <c r="S163" s="70">
        <f>IF(UninsLT18to64[[#This Row],[Total]]&lt;1000,UninsLT18to64[[#This Row],[Total]],MAX(VLOOKUP(UninsLT18to64[[#This Row],[ZIP Code]],IRSzipToCntyTbl[#All],3,0),(UninsLT18to64[[#This Row],[Total]]-(109811*(VLOOKUP(UninsLT18to64[[#This Row],[ZIP Code]],CitizenshipTbl[#All],4,0))))*0.8))</f>
        <v>871.66542685381</v>
      </c>
      <c r="V163" s="71"/>
    </row>
    <row r="164" spans="1:22" x14ac:dyDescent="0.3">
      <c r="A164" s="62">
        <v>21234</v>
      </c>
      <c r="B164" s="63" t="str">
        <f>VLOOKUP(A164,ZipToCntyTbl[#All],2,0)</f>
        <v>Parkville</v>
      </c>
      <c r="C164" s="63" t="str">
        <f>VLOOKUP(A164,ZipToCntyTbl[#All],3,0)</f>
        <v>Baltimore</v>
      </c>
      <c r="D164" s="63">
        <v>1058</v>
      </c>
      <c r="E164" s="93">
        <f>UninsLT18to64[[#This Row],[Alternate Adj. Total]]*(UninsLT18to64[[#This Row],[Below 138% of FPL - Uninsured]]/UninsLT18to64[[#This Row],[Total]])</f>
        <v>746.66380597251725</v>
      </c>
      <c r="F164" s="96">
        <v>454</v>
      </c>
      <c r="G164" s="63">
        <v>763</v>
      </c>
      <c r="H164" s="93">
        <f>UninsLT18to64[[#This Row],[Alternate Adj. Total]]*(UninsLT18to64[[#This Row],[138 to 199% of FPL - Uninsured]]/UninsLT18to64[[#This Row],[Total]])</f>
        <v>538.47304721836554</v>
      </c>
      <c r="I164" s="96">
        <v>303</v>
      </c>
      <c r="J164" s="63">
        <v>1535</v>
      </c>
      <c r="K164" s="93">
        <f>UninsLT18to64[[#This Row],[Alternate Adj. Total]]*(UninsLT18to64[[#This Row],[200 to 399% of FPL - Uninsured]]/UninsLT18to64[[#This Row],[Total]])</f>
        <v>1083.2976769071968</v>
      </c>
      <c r="L164" s="96">
        <v>377</v>
      </c>
      <c r="M164" s="63">
        <v>871</v>
      </c>
      <c r="N164" s="93">
        <f>UninsLT18to64[[#This Row],[Alternate Adj. Total]]*(UninsLT18to64[[#This Row],[400% FPL and over - Uninsured]]/UninsLT18to64[[#This Row],[Total]])</f>
        <v>614.69203686395338</v>
      </c>
      <c r="O164" s="96">
        <v>313</v>
      </c>
      <c r="P164" s="64">
        <f>SUM(UninsLT18to64[[#This Row],[Below 138% of FPL - Uninsured]]+UninsLT18to64[[#This Row],[138 to 199% of FPL - Uninsured]]+UninsLT18to64[[#This Row],[200 to 399% of FPL - Uninsured]]+UninsLT18to64[[#This Row],[400% FPL and over - Uninsured]])</f>
        <v>4227</v>
      </c>
      <c r="Q164" s="83">
        <v>1.7227066934086134E-2</v>
      </c>
      <c r="R16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2813.6000000000004</v>
      </c>
      <c r="S164" s="70">
        <f>IF(UninsLT18to64[[#This Row],[Total]]&lt;1000,UninsLT18to64[[#This Row],[Total]],MAX(VLOOKUP(UninsLT18to64[[#This Row],[ZIP Code]],IRSzipToCntyTbl[#All],3,0),(UninsLT18to64[[#This Row],[Total]]-(109811*(VLOOKUP(UninsLT18to64[[#This Row],[ZIP Code]],CitizenshipTbl[#All],4,0))))*0.8))</f>
        <v>2983.1265669620329</v>
      </c>
      <c r="V164" s="71"/>
    </row>
    <row r="165" spans="1:22" x14ac:dyDescent="0.3">
      <c r="A165" s="62">
        <v>21236</v>
      </c>
      <c r="B165" s="63" t="str">
        <f>VLOOKUP(A165,ZipToCntyTbl[#All],2,0)</f>
        <v>Nottingham</v>
      </c>
      <c r="C165" s="63" t="str">
        <f>VLOOKUP(A165,ZipToCntyTbl[#All],3,0)</f>
        <v>Baltimore</v>
      </c>
      <c r="D165" s="63">
        <v>513</v>
      </c>
      <c r="E165" s="93">
        <f>UninsLT18to64[[#This Row],[Alternate Adj. Total]]*(UninsLT18to64[[#This Row],[Below 138% of FPL - Uninsured]]/UninsLT18to64[[#This Row],[Total]])</f>
        <v>348.5453480529618</v>
      </c>
      <c r="F165" s="96">
        <v>466</v>
      </c>
      <c r="G165" s="63">
        <v>204</v>
      </c>
      <c r="H165" s="93">
        <f>UninsLT18to64[[#This Row],[Alternate Adj. Total]]*(UninsLT18to64[[#This Row],[138 to 199% of FPL - Uninsured]]/UninsLT18to64[[#This Row],[Total]])</f>
        <v>138.6028284655053</v>
      </c>
      <c r="I165" s="96">
        <v>141</v>
      </c>
      <c r="J165" s="63">
        <v>567</v>
      </c>
      <c r="K165" s="93">
        <f>UninsLT18to64[[#This Row],[Alternate Adj. Total]]*(UninsLT18to64[[#This Row],[200 to 399% of FPL - Uninsured]]/UninsLT18to64[[#This Row],[Total]])</f>
        <v>385.23433205853678</v>
      </c>
      <c r="L165" s="96">
        <v>241</v>
      </c>
      <c r="M165" s="63">
        <v>522</v>
      </c>
      <c r="N165" s="93">
        <f>UninsLT18to64[[#This Row],[Alternate Adj. Total]]*(UninsLT18to64[[#This Row],[400% FPL and over - Uninsured]]/UninsLT18to64[[#This Row],[Total]])</f>
        <v>354.66017872055767</v>
      </c>
      <c r="O165" s="96">
        <v>254</v>
      </c>
      <c r="P165" s="64">
        <f>SUM(UninsLT18to64[[#This Row],[Below 138% of FPL - Uninsured]]+UninsLT18to64[[#This Row],[138 to 199% of FPL - Uninsured]]+UninsLT18to64[[#This Row],[200 to 399% of FPL - Uninsured]]+UninsLT18to64[[#This Row],[400% FPL and over - Uninsured]])</f>
        <v>1806</v>
      </c>
      <c r="Q165" s="83">
        <v>4.0320493870643459E-2</v>
      </c>
      <c r="R16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1134.4000000000001</v>
      </c>
      <c r="S165" s="70">
        <f>IF(UninsLT18to64[[#This Row],[Total]]&lt;1000,UninsLT18to64[[#This Row],[Total]],MAX(VLOOKUP(UninsLT18to64[[#This Row],[ZIP Code]],IRSzipToCntyTbl[#All],3,0),(UninsLT18to64[[#This Row],[Total]]-(109811*(VLOOKUP(UninsLT18to64[[#This Row],[ZIP Code]],CitizenshipTbl[#All],4,0))))*0.8))</f>
        <v>1227.0426872975615</v>
      </c>
      <c r="V165" s="71"/>
    </row>
    <row r="166" spans="1:22" x14ac:dyDescent="0.3">
      <c r="A166" s="62">
        <v>21237</v>
      </c>
      <c r="B166" s="63" t="str">
        <f>VLOOKUP(A166,ZipToCntyTbl[#All],2,0)</f>
        <v>Rosedale</v>
      </c>
      <c r="C166" s="63" t="str">
        <f>VLOOKUP(A166,ZipToCntyTbl[#All],3,0)</f>
        <v>Baltimore</v>
      </c>
      <c r="D166" s="63">
        <v>658</v>
      </c>
      <c r="E166" s="93">
        <f>UninsLT18to64[[#This Row],[Alternate Adj. Total]]*(UninsLT18to64[[#This Row],[Below 138% of FPL - Uninsured]]/UninsLT18to64[[#This Row],[Total]])</f>
        <v>386.87477402289869</v>
      </c>
      <c r="F166" s="96">
        <v>396</v>
      </c>
      <c r="G166" s="63">
        <v>1287</v>
      </c>
      <c r="H166" s="93">
        <f>UninsLT18to64[[#This Row],[Alternate Adj. Total]]*(UninsLT18to64[[#This Row],[138 to 199% of FPL - Uninsured]]/UninsLT18to64[[#This Row],[Total]])</f>
        <v>756.69883612077592</v>
      </c>
      <c r="I166" s="96">
        <v>764</v>
      </c>
      <c r="J166" s="63">
        <v>643</v>
      </c>
      <c r="K166" s="93">
        <f>UninsLT18to64[[#This Row],[Alternate Adj. Total]]*(UninsLT18to64[[#This Row],[200 to 399% of FPL - Uninsured]]/UninsLT18to64[[#This Row],[Total]])</f>
        <v>378.05544026857729</v>
      </c>
      <c r="L166" s="96">
        <v>462</v>
      </c>
      <c r="M166" s="63">
        <v>514</v>
      </c>
      <c r="N166" s="93">
        <f>UninsLT18to64[[#This Row],[Alternate Adj. Total]]*(UninsLT18to64[[#This Row],[400% FPL and over - Uninsured]]/UninsLT18to64[[#This Row],[Total]])</f>
        <v>302.20916998141325</v>
      </c>
      <c r="O166" s="96">
        <v>280</v>
      </c>
      <c r="P166" s="64">
        <f>SUM(UninsLT18to64[[#This Row],[Below 138% of FPL - Uninsured]]+UninsLT18to64[[#This Row],[138 to 199% of FPL - Uninsured]]+UninsLT18to64[[#This Row],[200 to 399% of FPL - Uninsured]]+UninsLT18to64[[#This Row],[400% FPL and over - Uninsured]])</f>
        <v>3102</v>
      </c>
      <c r="Q166" s="83">
        <v>2.3474794303798223E-2</v>
      </c>
      <c r="R16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1544</v>
      </c>
      <c r="S166" s="70">
        <f>IF(UninsLT18to64[[#This Row],[Total]]&lt;1000,UninsLT18to64[[#This Row],[Total]],MAX(VLOOKUP(UninsLT18to64[[#This Row],[ZIP Code]],IRSzipToCntyTbl[#All],3,0),(UninsLT18to64[[#This Row],[Total]]-(109811*(VLOOKUP(UninsLT18to64[[#This Row],[ZIP Code]],CitizenshipTbl[#All],4,0))))*0.8))</f>
        <v>1823.8382203936651</v>
      </c>
      <c r="V166" s="71"/>
    </row>
    <row r="167" spans="1:22" x14ac:dyDescent="0.3">
      <c r="A167" s="62">
        <v>21239</v>
      </c>
      <c r="B167" s="63" t="str">
        <f>VLOOKUP(A167,ZipToCntyTbl[#All],2,0)</f>
        <v>Baltimore</v>
      </c>
      <c r="C167" s="63" t="str">
        <f>VLOOKUP(A167,ZipToCntyTbl[#All],3,0)</f>
        <v>Baltimore City</v>
      </c>
      <c r="D167" s="63">
        <v>546</v>
      </c>
      <c r="E167" s="93">
        <f>UninsLT18to64[[#This Row],[Alternate Adj. Total]]*(UninsLT18to64[[#This Row],[Below 138% of FPL - Uninsured]]/UninsLT18to64[[#This Row],[Total]])</f>
        <v>358.54813262948414</v>
      </c>
      <c r="F167" s="96">
        <v>370</v>
      </c>
      <c r="G167" s="63">
        <v>504</v>
      </c>
      <c r="H167" s="93">
        <f>UninsLT18to64[[#This Row],[Alternate Adj. Total]]*(UninsLT18to64[[#This Row],[138 to 199% of FPL - Uninsured]]/UninsLT18to64[[#This Row],[Total]])</f>
        <v>330.9675070426008</v>
      </c>
      <c r="I167" s="96">
        <v>332</v>
      </c>
      <c r="J167" s="63">
        <v>522</v>
      </c>
      <c r="K167" s="93">
        <f>UninsLT18to64[[#This Row],[Alternate Adj. Total]]*(UninsLT18to64[[#This Row],[200 to 399% of FPL - Uninsured]]/UninsLT18to64[[#This Row],[Total]])</f>
        <v>342.78777515126507</v>
      </c>
      <c r="L167" s="96">
        <v>295</v>
      </c>
      <c r="M167" s="63">
        <v>292</v>
      </c>
      <c r="N167" s="93">
        <f>UninsLT18to64[[#This Row],[Alternate Adj. Total]]*(UninsLT18to64[[#This Row],[400% FPL and over - Uninsured]]/UninsLT18to64[[#This Row],[Total]])</f>
        <v>191.75101598499884</v>
      </c>
      <c r="O167" s="96">
        <v>180</v>
      </c>
      <c r="P167" s="64">
        <f>SUM(UninsLT18to64[[#This Row],[Below 138% of FPL - Uninsured]]+UninsLT18to64[[#This Row],[138 to 199% of FPL - Uninsured]]+UninsLT18to64[[#This Row],[200 to 399% of FPL - Uninsured]]+UninsLT18to64[[#This Row],[400% FPL and over - Uninsured]])</f>
        <v>1864</v>
      </c>
      <c r="Q167" s="83">
        <v>3.9065886228745753E-2</v>
      </c>
      <c r="R16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1110.4000000000001</v>
      </c>
      <c r="S167" s="70">
        <f>IF(UninsLT18to64[[#This Row],[Total]]&lt;1000,UninsLT18to64[[#This Row],[Total]],MAX(VLOOKUP(UninsLT18to64[[#This Row],[ZIP Code]],IRSzipToCntyTbl[#All],3,0),(UninsLT18to64[[#This Row],[Total]]-(109811*(VLOOKUP(UninsLT18to64[[#This Row],[ZIP Code]],CitizenshipTbl[#All],4,0))))*0.8))</f>
        <v>1224.0544308083488</v>
      </c>
      <c r="V167" s="71"/>
    </row>
    <row r="168" spans="1:22" x14ac:dyDescent="0.3">
      <c r="A168" s="62">
        <v>21244</v>
      </c>
      <c r="B168" s="63" t="str">
        <f>VLOOKUP(A168,ZipToCntyTbl[#All],2,0)</f>
        <v>Windsor Mill</v>
      </c>
      <c r="C168" s="63" t="str">
        <f>VLOOKUP(A168,ZipToCntyTbl[#All],3,0)</f>
        <v>Baltimore</v>
      </c>
      <c r="D168" s="63">
        <v>856</v>
      </c>
      <c r="E168" s="93">
        <f>UninsLT18to64[[#This Row],[Alternate Adj. Total]]*(UninsLT18to64[[#This Row],[Below 138% of FPL - Uninsured]]/UninsLT18to64[[#This Row],[Total]])</f>
        <v>515.5188119491188</v>
      </c>
      <c r="F168" s="96">
        <v>572</v>
      </c>
      <c r="G168" s="63">
        <v>690</v>
      </c>
      <c r="H168" s="93">
        <f>UninsLT18to64[[#This Row],[Alternate Adj. Total]]*(UninsLT18to64[[#This Row],[138 to 199% of FPL - Uninsured]]/UninsLT18to64[[#This Row],[Total]])</f>
        <v>415.54670589356533</v>
      </c>
      <c r="I168" s="96">
        <v>371</v>
      </c>
      <c r="J168" s="63">
        <v>1240</v>
      </c>
      <c r="K168" s="93">
        <f>UninsLT18to64[[#This Row],[Alternate Adj. Total]]*(UninsLT18to64[[#This Row],[200 to 399% of FPL - Uninsured]]/UninsLT18to64[[#This Row],[Total]])</f>
        <v>746.779587402929</v>
      </c>
      <c r="L168" s="96">
        <v>497</v>
      </c>
      <c r="M168" s="63">
        <v>384</v>
      </c>
      <c r="N168" s="93">
        <f>UninsLT18to64[[#This Row],[Alternate Adj. Total]]*(UninsLT18to64[[#This Row],[400% FPL and over - Uninsured]]/UninsLT18to64[[#This Row],[Total]])</f>
        <v>231.26077545381028</v>
      </c>
      <c r="O168" s="96">
        <v>192</v>
      </c>
      <c r="P168" s="64">
        <f>SUM(UninsLT18to64[[#This Row],[Below 138% of FPL - Uninsured]]+UninsLT18to64[[#This Row],[138 to 199% of FPL - Uninsured]]+UninsLT18to64[[#This Row],[200 to 399% of FPL - Uninsured]]+UninsLT18to64[[#This Row],[400% FPL and over - Uninsured]])</f>
        <v>3170</v>
      </c>
      <c r="Q168" s="83">
        <v>2.2971234047439143E-2</v>
      </c>
      <c r="R16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1642.4</v>
      </c>
      <c r="S168" s="70">
        <f>IF(UninsLT18to64[[#This Row],[Total]]&lt;1000,UninsLT18to64[[#This Row],[Total]],MAX(VLOOKUP(UninsLT18to64[[#This Row],[ZIP Code]],IRSzipToCntyTbl[#All],3,0),(UninsLT18to64[[#This Row],[Total]]-(109811*(VLOOKUP(UninsLT18to64[[#This Row],[ZIP Code]],CitizenshipTbl[#All],4,0))))*0.8))</f>
        <v>1909.1058806994233</v>
      </c>
      <c r="V168" s="71"/>
    </row>
    <row r="169" spans="1:22" x14ac:dyDescent="0.3">
      <c r="A169" s="62">
        <v>21286</v>
      </c>
      <c r="B169" s="63" t="str">
        <f>VLOOKUP(A169,ZipToCntyTbl[#All],2,0)</f>
        <v>Towson</v>
      </c>
      <c r="C169" s="63" t="str">
        <f>VLOOKUP(A169,ZipToCntyTbl[#All],3,0)</f>
        <v>Baltimore</v>
      </c>
      <c r="D169" s="63">
        <v>263</v>
      </c>
      <c r="E169" s="93">
        <f>UninsLT18to64[[#This Row],[Alternate Adj. Total]]*(UninsLT18to64[[#This Row],[Below 138% of FPL - Uninsured]]/UninsLT18to64[[#This Row],[Total]])</f>
        <v>263</v>
      </c>
      <c r="F169" s="96">
        <v>190</v>
      </c>
      <c r="G169" s="63">
        <v>54</v>
      </c>
      <c r="H169" s="93">
        <f>UninsLT18to64[[#This Row],[Alternate Adj. Total]]*(UninsLT18to64[[#This Row],[138 to 199% of FPL - Uninsured]]/UninsLT18to64[[#This Row],[Total]])</f>
        <v>54</v>
      </c>
      <c r="I169" s="96">
        <v>58</v>
      </c>
      <c r="J169" s="63">
        <v>155</v>
      </c>
      <c r="K169" s="93">
        <f>UninsLT18to64[[#This Row],[Alternate Adj. Total]]*(UninsLT18to64[[#This Row],[200 to 399% of FPL - Uninsured]]/UninsLT18to64[[#This Row],[Total]])</f>
        <v>155</v>
      </c>
      <c r="L169" s="96">
        <v>114</v>
      </c>
      <c r="M169" s="63">
        <v>108</v>
      </c>
      <c r="N169" s="93">
        <f>UninsLT18to64[[#This Row],[Alternate Adj. Total]]*(UninsLT18to64[[#This Row],[400% FPL and over - Uninsured]]/UninsLT18to64[[#This Row],[Total]])</f>
        <v>108</v>
      </c>
      <c r="O169" s="96">
        <v>95</v>
      </c>
      <c r="P169" s="64">
        <f>SUM(UninsLT18to64[[#This Row],[Below 138% of FPL - Uninsured]]+UninsLT18to64[[#This Row],[138 to 199% of FPL - Uninsured]]+UninsLT18to64[[#This Row],[200 to 399% of FPL - Uninsured]]+UninsLT18to64[[#This Row],[400% FPL and over - Uninsured]])</f>
        <v>580</v>
      </c>
      <c r="Q169" s="83">
        <v>0.12554967574203807</v>
      </c>
      <c r="R16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580</v>
      </c>
      <c r="S169" s="70">
        <f>IF(UninsLT18to64[[#This Row],[Total]]&lt;1000,UninsLT18to64[[#This Row],[Total]],MAX(VLOOKUP(UninsLT18to64[[#This Row],[ZIP Code]],IRSzipToCntyTbl[#All],3,0),(UninsLT18to64[[#This Row],[Total]]-(109811*(VLOOKUP(UninsLT18to64[[#This Row],[ZIP Code]],CitizenshipTbl[#All],4,0))))*0.8))</f>
        <v>580</v>
      </c>
      <c r="V169" s="71"/>
    </row>
    <row r="170" spans="1:22" x14ac:dyDescent="0.3">
      <c r="A170" s="62">
        <v>21401</v>
      </c>
      <c r="B170" s="63" t="str">
        <f>VLOOKUP(A170,ZipToCntyTbl[#All],2,0)</f>
        <v>Annapolis</v>
      </c>
      <c r="C170" s="63" t="str">
        <f>VLOOKUP(A170,ZipToCntyTbl[#All],3,0)</f>
        <v>Anne Arundel</v>
      </c>
      <c r="D170" s="63">
        <v>521</v>
      </c>
      <c r="E170" s="93">
        <f>UninsLT18to64[[#This Row],[Alternate Adj. Total]]*(UninsLT18to64[[#This Row],[Below 138% of FPL - Uninsured]]/UninsLT18to64[[#This Row],[Total]])</f>
        <v>271.54683940942533</v>
      </c>
      <c r="F170" s="96">
        <v>351</v>
      </c>
      <c r="G170" s="63">
        <v>269</v>
      </c>
      <c r="H170" s="93">
        <f>UninsLT18to64[[#This Row],[Alternate Adj. Total]]*(UninsLT18to64[[#This Row],[138 to 199% of FPL - Uninsured]]/UninsLT18to64[[#This Row],[Total]])</f>
        <v>140.20364645131556</v>
      </c>
      <c r="I170" s="96">
        <v>278</v>
      </c>
      <c r="J170" s="63">
        <v>811</v>
      </c>
      <c r="K170" s="93">
        <f>UninsLT18to64[[#This Row],[Alternate Adj. Total]]*(UninsLT18to64[[#This Row],[200 to 399% of FPL - Uninsured]]/UninsLT18to64[[#This Row],[Total]])</f>
        <v>422.69575194058336</v>
      </c>
      <c r="L170" s="96">
        <v>284</v>
      </c>
      <c r="M170" s="63">
        <v>251</v>
      </c>
      <c r="N170" s="93">
        <f>UninsLT18to64[[#This Row],[Alternate Adj. Total]]*(UninsLT18to64[[#This Row],[400% FPL and over - Uninsured]]/UninsLT18to64[[#This Row],[Total]])</f>
        <v>130.82198981145058</v>
      </c>
      <c r="O170" s="96">
        <v>140</v>
      </c>
      <c r="P170" s="64">
        <f>SUM(UninsLT18to64[[#This Row],[Below 138% of FPL - Uninsured]]+UninsLT18to64[[#This Row],[138 to 199% of FPL - Uninsured]]+UninsLT18to64[[#This Row],[200 to 399% of FPL - Uninsured]]+UninsLT18to64[[#This Row],[400% FPL and over - Uninsured]])</f>
        <v>1852</v>
      </c>
      <c r="Q170" s="83">
        <v>3.9319012921372617E-2</v>
      </c>
      <c r="R17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745.6</v>
      </c>
      <c r="S170" s="70">
        <f>IF(UninsLT18to64[[#This Row],[Total]]&lt;1000,UninsLT18to64[[#This Row],[Total]],MAX(VLOOKUP(UninsLT18to64[[#This Row],[ZIP Code]],IRSzipToCntyTbl[#All],3,0),(UninsLT18to64[[#This Row],[Total]]-(109811*(VLOOKUP(UninsLT18to64[[#This Row],[ZIP Code]],CitizenshipTbl[#All],4,0))))*0.8))</f>
        <v>965.26822761277481</v>
      </c>
      <c r="V170" s="71"/>
    </row>
    <row r="171" spans="1:22" x14ac:dyDescent="0.3">
      <c r="A171" s="62">
        <v>21403</v>
      </c>
      <c r="B171" s="63" t="str">
        <f>VLOOKUP(A171,ZipToCntyTbl[#All],2,0)</f>
        <v>Annapolis</v>
      </c>
      <c r="C171" s="63" t="str">
        <f>VLOOKUP(A171,ZipToCntyTbl[#All],3,0)</f>
        <v>Anne Arundel</v>
      </c>
      <c r="D171" s="63">
        <v>761</v>
      </c>
      <c r="E171" s="93">
        <f>UninsLT18to64[[#This Row],[Alternate Adj. Total]]*(UninsLT18to64[[#This Row],[Below 138% of FPL - Uninsured]]/UninsLT18to64[[#This Row],[Total]])</f>
        <v>341.59111253079834</v>
      </c>
      <c r="F171" s="96">
        <v>455</v>
      </c>
      <c r="G171" s="63">
        <v>892</v>
      </c>
      <c r="H171" s="93">
        <f>UninsLT18to64[[#This Row],[Alternate Adj. Total]]*(UninsLT18to64[[#This Row],[138 to 199% of FPL - Uninsured]]/UninsLT18to64[[#This Row],[Total]])</f>
        <v>400.39326199405008</v>
      </c>
      <c r="I171" s="96">
        <v>479</v>
      </c>
      <c r="J171" s="63">
        <v>652</v>
      </c>
      <c r="K171" s="93">
        <f>UninsLT18to64[[#This Row],[Alternate Adj. Total]]*(UninsLT18to64[[#This Row],[200 to 399% of FPL - Uninsured]]/UninsLT18to64[[#This Row],[Total]])</f>
        <v>292.66413320641328</v>
      </c>
      <c r="L171" s="96">
        <v>344</v>
      </c>
      <c r="M171" s="63">
        <v>620</v>
      </c>
      <c r="N171" s="93">
        <f>UninsLT18to64[[#This Row],[Alternate Adj. Total]]*(UninsLT18to64[[#This Row],[400% FPL and over - Uninsured]]/UninsLT18to64[[#This Row],[Total]])</f>
        <v>278.30024936806171</v>
      </c>
      <c r="O171" s="96">
        <v>394</v>
      </c>
      <c r="P171" s="64">
        <f>SUM(UninsLT18to64[[#This Row],[Below 138% of FPL - Uninsured]]+UninsLT18to64[[#This Row],[138 to 199% of FPL - Uninsured]]+UninsLT18to64[[#This Row],[200 to 399% of FPL - Uninsured]]+UninsLT18to64[[#This Row],[400% FPL and over - Uninsured]])</f>
        <v>2925</v>
      </c>
      <c r="Q171" s="83">
        <v>2.4895320318079346E-2</v>
      </c>
      <c r="R17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876</v>
      </c>
      <c r="S171" s="70">
        <f>IF(UninsLT18to64[[#This Row],[Total]]&lt;1000,UninsLT18to64[[#This Row],[Total]],MAX(VLOOKUP(UninsLT18to64[[#This Row],[ZIP Code]],IRSzipToCntyTbl[#All],3,0),(UninsLT18to64[[#This Row],[Total]]-(109811*(VLOOKUP(UninsLT18to64[[#This Row],[ZIP Code]],CitizenshipTbl[#All],4,0))))*0.8))</f>
        <v>1312.9487570993235</v>
      </c>
      <c r="V171" s="71"/>
    </row>
    <row r="172" spans="1:22" x14ac:dyDescent="0.3">
      <c r="A172" s="62">
        <v>21409</v>
      </c>
      <c r="B172" s="63" t="str">
        <f>VLOOKUP(A172,ZipToCntyTbl[#All],2,0)</f>
        <v>Annapolis</v>
      </c>
      <c r="C172" s="63" t="str">
        <f>VLOOKUP(A172,ZipToCntyTbl[#All],3,0)</f>
        <v>Anne Arundel</v>
      </c>
      <c r="D172" s="63">
        <v>169</v>
      </c>
      <c r="E172" s="93">
        <f>UninsLT18to64[[#This Row],[Alternate Adj. Total]]*(UninsLT18to64[[#This Row],[Below 138% of FPL - Uninsured]]/UninsLT18to64[[#This Row],[Total]])</f>
        <v>169</v>
      </c>
      <c r="F172" s="96">
        <v>191</v>
      </c>
      <c r="G172" s="63">
        <v>80</v>
      </c>
      <c r="H172" s="93">
        <f>UninsLT18to64[[#This Row],[Alternate Adj. Total]]*(UninsLT18to64[[#This Row],[138 to 199% of FPL - Uninsured]]/UninsLT18to64[[#This Row],[Total]])</f>
        <v>80</v>
      </c>
      <c r="I172" s="96">
        <v>83</v>
      </c>
      <c r="J172" s="63">
        <v>247</v>
      </c>
      <c r="K172" s="93">
        <f>UninsLT18to64[[#This Row],[Alternate Adj. Total]]*(UninsLT18to64[[#This Row],[200 to 399% of FPL - Uninsured]]/UninsLT18to64[[#This Row],[Total]])</f>
        <v>247</v>
      </c>
      <c r="L172" s="96">
        <v>211</v>
      </c>
      <c r="M172" s="63">
        <v>232</v>
      </c>
      <c r="N172" s="93">
        <f>UninsLT18to64[[#This Row],[Alternate Adj. Total]]*(UninsLT18to64[[#This Row],[400% FPL and over - Uninsured]]/UninsLT18to64[[#This Row],[Total]])</f>
        <v>231.99999999999997</v>
      </c>
      <c r="O172" s="96">
        <v>112</v>
      </c>
      <c r="P172" s="64">
        <f>SUM(UninsLT18to64[[#This Row],[Below 138% of FPL - Uninsured]]+UninsLT18to64[[#This Row],[138 to 199% of FPL - Uninsured]]+UninsLT18to64[[#This Row],[200 to 399% of FPL - Uninsured]]+UninsLT18to64[[#This Row],[400% FPL and over - Uninsured]])</f>
        <v>728</v>
      </c>
      <c r="Q172" s="83">
        <v>0.10002584056371165</v>
      </c>
      <c r="R17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728</v>
      </c>
      <c r="S172" s="70">
        <f>IF(UninsLT18to64[[#This Row],[Total]]&lt;1000,UninsLT18to64[[#This Row],[Total]],MAX(VLOOKUP(UninsLT18to64[[#This Row],[ZIP Code]],IRSzipToCntyTbl[#All],3,0),(UninsLT18to64[[#This Row],[Total]]-(109811*(VLOOKUP(UninsLT18to64[[#This Row],[ZIP Code]],CitizenshipTbl[#All],4,0))))*0.8))</f>
        <v>728</v>
      </c>
      <c r="V172" s="71"/>
    </row>
    <row r="173" spans="1:22" x14ac:dyDescent="0.3">
      <c r="A173" s="62">
        <v>21502</v>
      </c>
      <c r="B173" s="63" t="str">
        <f>VLOOKUP(A173,ZipToCntyTbl[#All],2,0)</f>
        <v>Cumberland</v>
      </c>
      <c r="C173" s="63" t="str">
        <f>VLOOKUP(A173,ZipToCntyTbl[#All],3,0)</f>
        <v>Allegany</v>
      </c>
      <c r="D173" s="63">
        <v>1012</v>
      </c>
      <c r="E173" s="93">
        <f>UninsLT18to64[[#This Row],[Alternate Adj. Total]]*(UninsLT18to64[[#This Row],[Below 138% of FPL - Uninsured]]/UninsLT18to64[[#This Row],[Total]])</f>
        <v>792.241658018767</v>
      </c>
      <c r="F173" s="96">
        <v>402</v>
      </c>
      <c r="G173" s="63">
        <v>320</v>
      </c>
      <c r="H173" s="93">
        <f>UninsLT18to64[[#This Row],[Alternate Adj. Total]]*(UninsLT18to64[[#This Row],[138 to 199% of FPL - Uninsured]]/UninsLT18to64[[#This Row],[Total]])</f>
        <v>250.51119621146779</v>
      </c>
      <c r="I173" s="96">
        <v>143</v>
      </c>
      <c r="J173" s="63">
        <v>760</v>
      </c>
      <c r="K173" s="93">
        <f>UninsLT18to64[[#This Row],[Alternate Adj. Total]]*(UninsLT18to64[[#This Row],[200 to 399% of FPL - Uninsured]]/UninsLT18to64[[#This Row],[Total]])</f>
        <v>594.96409100223605</v>
      </c>
      <c r="L173" s="96">
        <v>257</v>
      </c>
      <c r="M173" s="63">
        <v>362</v>
      </c>
      <c r="N173" s="93">
        <f>UninsLT18to64[[#This Row],[Alternate Adj. Total]]*(UninsLT18to64[[#This Row],[400% FPL and over - Uninsured]]/UninsLT18to64[[#This Row],[Total]])</f>
        <v>283.39079071422299</v>
      </c>
      <c r="O173" s="96">
        <v>165</v>
      </c>
      <c r="P173" s="64">
        <f>SUM(UninsLT18to64[[#This Row],[Below 138% of FPL - Uninsured]]+UninsLT18to64[[#This Row],[138 to 199% of FPL - Uninsured]]+UninsLT18to64[[#This Row],[200 to 399% of FPL - Uninsured]]+UninsLT18to64[[#This Row],[400% FPL and over - Uninsured]])</f>
        <v>2454</v>
      </c>
      <c r="Q173" s="83">
        <v>2.967351749404323E-2</v>
      </c>
      <c r="R17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1903.2</v>
      </c>
      <c r="S173" s="70">
        <f>IF(UninsLT18to64[[#This Row],[Total]]&lt;1000,UninsLT18to64[[#This Row],[Total]],MAX(VLOOKUP(UninsLT18to64[[#This Row],[ZIP Code]],IRSzipToCntyTbl[#All],3,0),(UninsLT18to64[[#This Row],[Total]]-(109811*(VLOOKUP(UninsLT18to64[[#This Row],[ZIP Code]],CitizenshipTbl[#All],4,0))))*0.8))</f>
        <v>1921.1077359466938</v>
      </c>
      <c r="V173" s="71"/>
    </row>
    <row r="174" spans="1:22" x14ac:dyDescent="0.3">
      <c r="A174" s="62">
        <v>21532</v>
      </c>
      <c r="B174" s="63" t="str">
        <f>VLOOKUP(A174,ZipToCntyTbl[#All],2,0)</f>
        <v>Frostburg</v>
      </c>
      <c r="C174" s="63" t="str">
        <f>VLOOKUP(A174,ZipToCntyTbl[#All],3,0)</f>
        <v>Allegany</v>
      </c>
      <c r="D174" s="63">
        <v>151</v>
      </c>
      <c r="E174" s="93">
        <f>UninsLT18to64[[#This Row],[Alternate Adj. Total]]*(UninsLT18to64[[#This Row],[Below 138% of FPL - Uninsured]]/UninsLT18to64[[#This Row],[Total]])</f>
        <v>151</v>
      </c>
      <c r="F174" s="96">
        <v>142</v>
      </c>
      <c r="G174" s="63">
        <v>163</v>
      </c>
      <c r="H174" s="93">
        <f>UninsLT18to64[[#This Row],[Alternate Adj. Total]]*(UninsLT18to64[[#This Row],[138 to 199% of FPL - Uninsured]]/UninsLT18to64[[#This Row],[Total]])</f>
        <v>163</v>
      </c>
      <c r="I174" s="96">
        <v>100</v>
      </c>
      <c r="J174" s="63">
        <v>247</v>
      </c>
      <c r="K174" s="93">
        <f>UninsLT18to64[[#This Row],[Alternate Adj. Total]]*(UninsLT18to64[[#This Row],[200 to 399% of FPL - Uninsured]]/UninsLT18to64[[#This Row],[Total]])</f>
        <v>247</v>
      </c>
      <c r="L174" s="96">
        <v>171</v>
      </c>
      <c r="M174" s="63">
        <v>4</v>
      </c>
      <c r="N174" s="93">
        <f>UninsLT18to64[[#This Row],[Alternate Adj. Total]]*(UninsLT18to64[[#This Row],[400% FPL and over - Uninsured]]/UninsLT18to64[[#This Row],[Total]])</f>
        <v>4</v>
      </c>
      <c r="O174" s="96">
        <v>26</v>
      </c>
      <c r="P174" s="64">
        <f>SUM(UninsLT18to64[[#This Row],[Below 138% of FPL - Uninsured]]+UninsLT18to64[[#This Row],[138 to 199% of FPL - Uninsured]]+UninsLT18to64[[#This Row],[200 to 399% of FPL - Uninsured]]+UninsLT18to64[[#This Row],[400% FPL and over - Uninsured]])</f>
        <v>565</v>
      </c>
      <c r="Q174" s="83">
        <v>0.12888285297412758</v>
      </c>
      <c r="R17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565</v>
      </c>
      <c r="S174" s="70">
        <f>IF(UninsLT18to64[[#This Row],[Total]]&lt;1000,UninsLT18to64[[#This Row],[Total]],MAX(VLOOKUP(UninsLT18to64[[#This Row],[ZIP Code]],IRSzipToCntyTbl[#All],3,0),(UninsLT18to64[[#This Row],[Total]]-(109811*(VLOOKUP(UninsLT18to64[[#This Row],[ZIP Code]],CitizenshipTbl[#All],4,0))))*0.8))</f>
        <v>565</v>
      </c>
      <c r="V174" s="71"/>
    </row>
    <row r="175" spans="1:22" x14ac:dyDescent="0.3">
      <c r="A175" s="62">
        <v>21536</v>
      </c>
      <c r="B175" s="63" t="str">
        <f>VLOOKUP(A175,ZipToCntyTbl[#All],2,0)</f>
        <v>Grantsville</v>
      </c>
      <c r="C175" s="63" t="str">
        <f>VLOOKUP(A175,ZipToCntyTbl[#All],3,0)</f>
        <v>Garrett</v>
      </c>
      <c r="D175" s="63">
        <v>117</v>
      </c>
      <c r="E175" s="93">
        <f>UninsLT18to64[[#This Row],[Alternate Adj. Total]]*(UninsLT18to64[[#This Row],[Below 138% of FPL - Uninsured]]/UninsLT18to64[[#This Row],[Total]])</f>
        <v>117</v>
      </c>
      <c r="F175" s="96">
        <v>114</v>
      </c>
      <c r="G175" s="63">
        <v>56</v>
      </c>
      <c r="H175" s="93">
        <f>UninsLT18to64[[#This Row],[Alternate Adj. Total]]*(UninsLT18to64[[#This Row],[138 to 199% of FPL - Uninsured]]/UninsLT18to64[[#This Row],[Total]])</f>
        <v>55.999999999999993</v>
      </c>
      <c r="I175" s="96">
        <v>52</v>
      </c>
      <c r="J175" s="63">
        <v>91</v>
      </c>
      <c r="K175" s="93">
        <f>UninsLT18to64[[#This Row],[Alternate Adj. Total]]*(UninsLT18to64[[#This Row],[200 to 399% of FPL - Uninsured]]/UninsLT18to64[[#This Row],[Total]])</f>
        <v>91</v>
      </c>
      <c r="L175" s="96">
        <v>113</v>
      </c>
      <c r="M175" s="63">
        <v>81</v>
      </c>
      <c r="N175" s="93">
        <f>UninsLT18to64[[#This Row],[Alternate Adj. Total]]*(UninsLT18to64[[#This Row],[400% FPL and over - Uninsured]]/UninsLT18to64[[#This Row],[Total]])</f>
        <v>81</v>
      </c>
      <c r="O175" s="96">
        <v>96</v>
      </c>
      <c r="P175" s="64">
        <f>SUM(UninsLT18to64[[#This Row],[Below 138% of FPL - Uninsured]]+UninsLT18to64[[#This Row],[138 to 199% of FPL - Uninsured]]+UninsLT18to64[[#This Row],[200 to 399% of FPL - Uninsured]]+UninsLT18to64[[#This Row],[400% FPL and over - Uninsured]])</f>
        <v>345</v>
      </c>
      <c r="Q175" s="83">
        <v>0.211069020088064</v>
      </c>
      <c r="R17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345</v>
      </c>
      <c r="S175" s="70">
        <f>IF(UninsLT18to64[[#This Row],[Total]]&lt;1000,UninsLT18to64[[#This Row],[Total]],MAX(VLOOKUP(UninsLT18to64[[#This Row],[ZIP Code]],IRSzipToCntyTbl[#All],3,0),(UninsLT18to64[[#This Row],[Total]]-(109811*(VLOOKUP(UninsLT18to64[[#This Row],[ZIP Code]],CitizenshipTbl[#All],4,0))))*0.8))</f>
        <v>345</v>
      </c>
      <c r="V175" s="71"/>
    </row>
    <row r="176" spans="1:22" x14ac:dyDescent="0.3">
      <c r="A176" s="62">
        <v>21550</v>
      </c>
      <c r="B176" s="63" t="str">
        <f>VLOOKUP(A176,ZipToCntyTbl[#All],2,0)</f>
        <v>Oakland</v>
      </c>
      <c r="C176" s="63" t="str">
        <f>VLOOKUP(A176,ZipToCntyTbl[#All],3,0)</f>
        <v>Garrett</v>
      </c>
      <c r="D176" s="63">
        <v>280</v>
      </c>
      <c r="E176" s="93">
        <f>UninsLT18to64[[#This Row],[Alternate Adj. Total]]*(UninsLT18to64[[#This Row],[Below 138% of FPL - Uninsured]]/UninsLT18to64[[#This Row],[Total]])</f>
        <v>224</v>
      </c>
      <c r="F176" s="96">
        <v>184</v>
      </c>
      <c r="G176" s="63">
        <v>282</v>
      </c>
      <c r="H176" s="93">
        <f>UninsLT18to64[[#This Row],[Alternate Adj. Total]]*(UninsLT18to64[[#This Row],[138 to 199% of FPL - Uninsured]]/UninsLT18to64[[#This Row],[Total]])</f>
        <v>225.6</v>
      </c>
      <c r="I176" s="96">
        <v>151</v>
      </c>
      <c r="J176" s="63">
        <v>387</v>
      </c>
      <c r="K176" s="93">
        <f>UninsLT18to64[[#This Row],[Alternate Adj. Total]]*(UninsLT18to64[[#This Row],[200 to 399% of FPL - Uninsured]]/UninsLT18to64[[#This Row],[Total]])</f>
        <v>309.60000000000002</v>
      </c>
      <c r="L176" s="96">
        <v>200</v>
      </c>
      <c r="M176" s="63">
        <v>223</v>
      </c>
      <c r="N176" s="93">
        <f>UninsLT18to64[[#This Row],[Alternate Adj. Total]]*(UninsLT18to64[[#This Row],[400% FPL and over - Uninsured]]/UninsLT18to64[[#This Row],[Total]])</f>
        <v>178.4</v>
      </c>
      <c r="O176" s="96">
        <v>142</v>
      </c>
      <c r="P176" s="64">
        <f>SUM(UninsLT18to64[[#This Row],[Below 138% of FPL - Uninsured]]+UninsLT18to64[[#This Row],[138 to 199% of FPL - Uninsured]]+UninsLT18to64[[#This Row],[200 to 399% of FPL - Uninsured]]+UninsLT18to64[[#This Row],[400% FPL and over - Uninsured]])</f>
        <v>1172</v>
      </c>
      <c r="Q176" s="83">
        <v>6.2132092090769697E-2</v>
      </c>
      <c r="R17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937.6</v>
      </c>
      <c r="S176" s="70">
        <f>IF(UninsLT18to64[[#This Row],[Total]]&lt;1000,UninsLT18to64[[#This Row],[Total]],MAX(VLOOKUP(UninsLT18to64[[#This Row],[ZIP Code]],IRSzipToCntyTbl[#All],3,0),(UninsLT18to64[[#This Row],[Total]]-(109811*(VLOOKUP(UninsLT18to64[[#This Row],[ZIP Code]],CitizenshipTbl[#All],4,0))))*0.8))</f>
        <v>937.6</v>
      </c>
      <c r="V176" s="71"/>
    </row>
    <row r="177" spans="1:22" x14ac:dyDescent="0.3">
      <c r="A177" s="62">
        <v>21601</v>
      </c>
      <c r="B177" s="63" t="str">
        <f>VLOOKUP(A177,ZipToCntyTbl[#All],2,0)</f>
        <v>Easton</v>
      </c>
      <c r="C177" s="63" t="str">
        <f>VLOOKUP(A177,ZipToCntyTbl[#All],3,0)</f>
        <v>Talbot</v>
      </c>
      <c r="D177" s="63">
        <v>452</v>
      </c>
      <c r="E177" s="93">
        <f>UninsLT18to64[[#This Row],[Alternate Adj. Total]]*(UninsLT18to64[[#This Row],[Below 138% of FPL - Uninsured]]/UninsLT18to64[[#This Row],[Total]])</f>
        <v>284.51344604957683</v>
      </c>
      <c r="F177" s="96">
        <v>328</v>
      </c>
      <c r="G177" s="63">
        <v>460</v>
      </c>
      <c r="H177" s="93">
        <f>UninsLT18to64[[#This Row],[Alternate Adj. Total]]*(UninsLT18to64[[#This Row],[138 to 199% of FPL - Uninsured]]/UninsLT18to64[[#This Row],[Total]])</f>
        <v>289.54908226284368</v>
      </c>
      <c r="I177" s="96">
        <v>239</v>
      </c>
      <c r="J177" s="63">
        <v>357</v>
      </c>
      <c r="K177" s="93">
        <f>UninsLT18to64[[#This Row],[Alternate Adj. Total]]*(UninsLT18to64[[#This Row],[200 to 399% of FPL - Uninsured]]/UninsLT18to64[[#This Row],[Total]])</f>
        <v>224.71526601703303</v>
      </c>
      <c r="L177" s="96">
        <v>143</v>
      </c>
      <c r="M177" s="63">
        <v>304</v>
      </c>
      <c r="N177" s="93">
        <f>UninsLT18to64[[#This Row],[Alternate Adj. Total]]*(UninsLT18to64[[#This Row],[400% FPL and over - Uninsured]]/UninsLT18to64[[#This Row],[Total]])</f>
        <v>191.35417610414018</v>
      </c>
      <c r="O177" s="96">
        <v>169</v>
      </c>
      <c r="P177" s="64">
        <f>SUM(UninsLT18to64[[#This Row],[Below 138% of FPL - Uninsured]]+UninsLT18to64[[#This Row],[138 to 199% of FPL - Uninsured]]+UninsLT18to64[[#This Row],[200 to 399% of FPL - Uninsured]]+UninsLT18to64[[#This Row],[400% FPL and over - Uninsured]])</f>
        <v>1573</v>
      </c>
      <c r="Q177" s="83">
        <v>4.6292951004692995E-2</v>
      </c>
      <c r="R17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876</v>
      </c>
      <c r="S177" s="70">
        <f>IF(UninsLT18to64[[#This Row],[Total]]&lt;1000,UninsLT18to64[[#This Row],[Total]],MAX(VLOOKUP(UninsLT18to64[[#This Row],[ZIP Code]],IRSzipToCntyTbl[#All],3,0),(UninsLT18to64[[#This Row],[Total]]-(109811*(VLOOKUP(UninsLT18to64[[#This Row],[ZIP Code]],CitizenshipTbl[#All],4,0))))*0.8))</f>
        <v>990.13197043359378</v>
      </c>
      <c r="V177" s="71"/>
    </row>
    <row r="178" spans="1:22" x14ac:dyDescent="0.3">
      <c r="A178" s="62">
        <v>21613</v>
      </c>
      <c r="B178" s="63" t="str">
        <f>VLOOKUP(A178,ZipToCntyTbl[#All],2,0)</f>
        <v>Cambridge</v>
      </c>
      <c r="C178" s="63" t="str">
        <f>VLOOKUP(A178,ZipToCntyTbl[#All],3,0)</f>
        <v>Dorchester</v>
      </c>
      <c r="D178" s="63">
        <v>208</v>
      </c>
      <c r="E178" s="93">
        <f>UninsLT18to64[[#This Row],[Alternate Adj. Total]]*(UninsLT18to64[[#This Row],[Below 138% of FPL - Uninsured]]/UninsLT18to64[[#This Row],[Total]])</f>
        <v>208</v>
      </c>
      <c r="F178" s="96">
        <v>178</v>
      </c>
      <c r="G178" s="63">
        <v>133</v>
      </c>
      <c r="H178" s="93">
        <f>UninsLT18to64[[#This Row],[Alternate Adj. Total]]*(UninsLT18to64[[#This Row],[138 to 199% of FPL - Uninsured]]/UninsLT18to64[[#This Row],[Total]])</f>
        <v>133</v>
      </c>
      <c r="I178" s="96">
        <v>74</v>
      </c>
      <c r="J178" s="63">
        <v>251</v>
      </c>
      <c r="K178" s="93">
        <f>UninsLT18to64[[#This Row],[Alternate Adj. Total]]*(UninsLT18to64[[#This Row],[200 to 399% of FPL - Uninsured]]/UninsLT18to64[[#This Row],[Total]])</f>
        <v>251</v>
      </c>
      <c r="L178" s="96">
        <v>138</v>
      </c>
      <c r="M178" s="63">
        <v>216</v>
      </c>
      <c r="N178" s="93">
        <f>UninsLT18to64[[#This Row],[Alternate Adj. Total]]*(UninsLT18to64[[#This Row],[400% FPL and over - Uninsured]]/UninsLT18to64[[#This Row],[Total]])</f>
        <v>216</v>
      </c>
      <c r="O178" s="96">
        <v>121</v>
      </c>
      <c r="P178" s="64">
        <f>SUM(UninsLT18to64[[#This Row],[Below 138% of FPL - Uninsured]]+UninsLT18to64[[#This Row],[138 to 199% of FPL - Uninsured]]+UninsLT18to64[[#This Row],[200 to 399% of FPL - Uninsured]]+UninsLT18to64[[#This Row],[400% FPL and over - Uninsured]])</f>
        <v>808</v>
      </c>
      <c r="Q178" s="83">
        <v>9.0122291993047138E-2</v>
      </c>
      <c r="R17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808</v>
      </c>
      <c r="S178" s="70">
        <f>IF(UninsLT18to64[[#This Row],[Total]]&lt;1000,UninsLT18to64[[#This Row],[Total]],MAX(VLOOKUP(UninsLT18to64[[#This Row],[ZIP Code]],IRSzipToCntyTbl[#All],3,0),(UninsLT18to64[[#This Row],[Total]]-(109811*(VLOOKUP(UninsLT18to64[[#This Row],[ZIP Code]],CitizenshipTbl[#All],4,0))))*0.8))</f>
        <v>808</v>
      </c>
      <c r="V178" s="71"/>
    </row>
    <row r="179" spans="1:22" x14ac:dyDescent="0.3">
      <c r="A179" s="62">
        <v>21617</v>
      </c>
      <c r="B179" s="63" t="str">
        <f>VLOOKUP(A179,ZipToCntyTbl[#All],2,0)</f>
        <v>Centreville</v>
      </c>
      <c r="C179" s="63" t="str">
        <f>VLOOKUP(A179,ZipToCntyTbl[#All],3,0)</f>
        <v>Queen Annes</v>
      </c>
      <c r="D179" s="63">
        <v>35</v>
      </c>
      <c r="E179" s="93">
        <f>UninsLT18to64[[#This Row],[Alternate Adj. Total]]*(UninsLT18to64[[#This Row],[Below 138% of FPL - Uninsured]]/UninsLT18to64[[#This Row],[Total]])</f>
        <v>35</v>
      </c>
      <c r="F179" s="96">
        <v>82</v>
      </c>
      <c r="G179" s="63">
        <v>77</v>
      </c>
      <c r="H179" s="93">
        <f>UninsLT18to64[[#This Row],[Alternate Adj. Total]]*(UninsLT18to64[[#This Row],[138 to 199% of FPL - Uninsured]]/UninsLT18to64[[#This Row],[Total]])</f>
        <v>77</v>
      </c>
      <c r="I179" s="96">
        <v>96</v>
      </c>
      <c r="J179" s="63">
        <v>130</v>
      </c>
      <c r="K179" s="93">
        <f>UninsLT18to64[[#This Row],[Alternate Adj. Total]]*(UninsLT18to64[[#This Row],[200 to 399% of FPL - Uninsured]]/UninsLT18to64[[#This Row],[Total]])</f>
        <v>130</v>
      </c>
      <c r="L179" s="96">
        <v>124</v>
      </c>
      <c r="M179" s="63">
        <v>153</v>
      </c>
      <c r="N179" s="93">
        <f>UninsLT18to64[[#This Row],[Alternate Adj. Total]]*(UninsLT18to64[[#This Row],[400% FPL and over - Uninsured]]/UninsLT18to64[[#This Row],[Total]])</f>
        <v>153</v>
      </c>
      <c r="O179" s="96">
        <v>151</v>
      </c>
      <c r="P179" s="64">
        <f>SUM(UninsLT18to64[[#This Row],[Below 138% of FPL - Uninsured]]+UninsLT18to64[[#This Row],[138 to 199% of FPL - Uninsured]]+UninsLT18to64[[#This Row],[200 to 399% of FPL - Uninsured]]+UninsLT18to64[[#This Row],[400% FPL and over - Uninsured]])</f>
        <v>395</v>
      </c>
      <c r="Q179" s="83">
        <v>0.18435142260856224</v>
      </c>
      <c r="R17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395</v>
      </c>
      <c r="S179" s="70">
        <f>IF(UninsLT18to64[[#This Row],[Total]]&lt;1000,UninsLT18to64[[#This Row],[Total]],MAX(VLOOKUP(UninsLT18to64[[#This Row],[ZIP Code]],IRSzipToCntyTbl[#All],3,0),(UninsLT18to64[[#This Row],[Total]]-(109811*(VLOOKUP(UninsLT18to64[[#This Row],[ZIP Code]],CitizenshipTbl[#All],4,0))))*0.8))</f>
        <v>395</v>
      </c>
      <c r="V179" s="71"/>
    </row>
    <row r="180" spans="1:22" x14ac:dyDescent="0.3">
      <c r="A180" s="62">
        <v>21619</v>
      </c>
      <c r="B180" s="63" t="str">
        <f>VLOOKUP(A180,ZipToCntyTbl[#All],2,0)</f>
        <v>Chester</v>
      </c>
      <c r="C180" s="63" t="str">
        <f>VLOOKUP(A180,ZipToCntyTbl[#All],3,0)</f>
        <v>Queen Annes</v>
      </c>
      <c r="D180" s="63">
        <v>20</v>
      </c>
      <c r="E180" s="93">
        <f>UninsLT18to64[[#This Row],[Alternate Adj. Total]]*(UninsLT18to64[[#This Row],[Below 138% of FPL - Uninsured]]/UninsLT18to64[[#This Row],[Total]])</f>
        <v>20</v>
      </c>
      <c r="F180" s="96">
        <v>79</v>
      </c>
      <c r="G180" s="63">
        <v>344</v>
      </c>
      <c r="H180" s="93">
        <f>UninsLT18to64[[#This Row],[Alternate Adj. Total]]*(UninsLT18to64[[#This Row],[138 to 199% of FPL - Uninsured]]/UninsLT18to64[[#This Row],[Total]])</f>
        <v>344</v>
      </c>
      <c r="I180" s="96">
        <v>287</v>
      </c>
      <c r="J180" s="63">
        <v>56</v>
      </c>
      <c r="K180" s="93">
        <f>UninsLT18to64[[#This Row],[Alternate Adj. Total]]*(UninsLT18to64[[#This Row],[200 to 399% of FPL - Uninsured]]/UninsLT18to64[[#This Row],[Total]])</f>
        <v>56</v>
      </c>
      <c r="L180" s="96">
        <v>66</v>
      </c>
      <c r="M180" s="63">
        <v>43</v>
      </c>
      <c r="N180" s="93">
        <f>UninsLT18to64[[#This Row],[Alternate Adj. Total]]*(UninsLT18to64[[#This Row],[400% FPL and over - Uninsured]]/UninsLT18to64[[#This Row],[Total]])</f>
        <v>43</v>
      </c>
      <c r="O180" s="96">
        <v>62</v>
      </c>
      <c r="P180" s="64">
        <f>SUM(UninsLT18to64[[#This Row],[Below 138% of FPL - Uninsured]]+UninsLT18to64[[#This Row],[138 to 199% of FPL - Uninsured]]+UninsLT18to64[[#This Row],[200 to 399% of FPL - Uninsured]]+UninsLT18to64[[#This Row],[400% FPL and over - Uninsured]])</f>
        <v>463</v>
      </c>
      <c r="Q180" s="83">
        <v>0.15727605168549047</v>
      </c>
      <c r="R18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463</v>
      </c>
      <c r="S180" s="70">
        <f>IF(UninsLT18to64[[#This Row],[Total]]&lt;1000,UninsLT18to64[[#This Row],[Total]],MAX(VLOOKUP(UninsLT18to64[[#This Row],[ZIP Code]],IRSzipToCntyTbl[#All],3,0),(UninsLT18to64[[#This Row],[Total]]-(109811*(VLOOKUP(UninsLT18to64[[#This Row],[ZIP Code]],CitizenshipTbl[#All],4,0))))*0.8))</f>
        <v>463</v>
      </c>
      <c r="V180" s="71"/>
    </row>
    <row r="181" spans="1:22" x14ac:dyDescent="0.3">
      <c r="A181" s="62">
        <v>21620</v>
      </c>
      <c r="B181" s="63" t="str">
        <f>VLOOKUP(A181,ZipToCntyTbl[#All],2,0)</f>
        <v>Chestertown</v>
      </c>
      <c r="C181" s="63" t="str">
        <f>VLOOKUP(A181,ZipToCntyTbl[#All],3,0)</f>
        <v>Kent</v>
      </c>
      <c r="D181" s="63">
        <v>131</v>
      </c>
      <c r="E181" s="93">
        <f>UninsLT18to64[[#This Row],[Alternate Adj. Total]]*(UninsLT18to64[[#This Row],[Below 138% of FPL - Uninsured]]/UninsLT18to64[[#This Row],[Total]])</f>
        <v>131</v>
      </c>
      <c r="F181" s="96">
        <v>124</v>
      </c>
      <c r="G181" s="63">
        <v>51</v>
      </c>
      <c r="H181" s="93">
        <f>UninsLT18to64[[#This Row],[Alternate Adj. Total]]*(UninsLT18to64[[#This Row],[138 to 199% of FPL - Uninsured]]/UninsLT18to64[[#This Row],[Total]])</f>
        <v>51</v>
      </c>
      <c r="I181" s="96">
        <v>91</v>
      </c>
      <c r="J181" s="63">
        <v>214</v>
      </c>
      <c r="K181" s="93">
        <f>UninsLT18to64[[#This Row],[Alternate Adj. Total]]*(UninsLT18to64[[#This Row],[200 to 399% of FPL - Uninsured]]/UninsLT18to64[[#This Row],[Total]])</f>
        <v>214</v>
      </c>
      <c r="L181" s="96">
        <v>157</v>
      </c>
      <c r="M181" s="63">
        <v>53</v>
      </c>
      <c r="N181" s="93">
        <f>UninsLT18to64[[#This Row],[Alternate Adj. Total]]*(UninsLT18to64[[#This Row],[400% FPL and over - Uninsured]]/UninsLT18to64[[#This Row],[Total]])</f>
        <v>53</v>
      </c>
      <c r="O181" s="96">
        <v>69</v>
      </c>
      <c r="P181" s="64">
        <f>SUM(UninsLT18to64[[#This Row],[Below 138% of FPL - Uninsured]]+UninsLT18to64[[#This Row],[138 to 199% of FPL - Uninsured]]+UninsLT18to64[[#This Row],[200 to 399% of FPL - Uninsured]]+UninsLT18to64[[#This Row],[400% FPL and over - Uninsured]])</f>
        <v>449</v>
      </c>
      <c r="Q181" s="83">
        <v>0.16217998202757702</v>
      </c>
      <c r="R18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449</v>
      </c>
      <c r="S181" s="70">
        <f>IF(UninsLT18to64[[#This Row],[Total]]&lt;1000,UninsLT18to64[[#This Row],[Total]],MAX(VLOOKUP(UninsLT18to64[[#This Row],[ZIP Code]],IRSzipToCntyTbl[#All],3,0),(UninsLT18to64[[#This Row],[Total]]-(109811*(VLOOKUP(UninsLT18to64[[#This Row],[ZIP Code]],CitizenshipTbl[#All],4,0))))*0.8))</f>
        <v>449</v>
      </c>
      <c r="V181" s="71"/>
    </row>
    <row r="182" spans="1:22" x14ac:dyDescent="0.3">
      <c r="A182" s="62">
        <v>21629</v>
      </c>
      <c r="B182" s="63" t="str">
        <f>VLOOKUP(A182,ZipToCntyTbl[#All],2,0)</f>
        <v>Denton</v>
      </c>
      <c r="C182" s="63" t="str">
        <f>VLOOKUP(A182,ZipToCntyTbl[#All],3,0)</f>
        <v>Caroline</v>
      </c>
      <c r="D182" s="63">
        <v>124</v>
      </c>
      <c r="E182" s="93">
        <f>UninsLT18to64[[#This Row],[Alternate Adj. Total]]*(UninsLT18to64[[#This Row],[Below 138% of FPL - Uninsured]]/UninsLT18to64[[#This Row],[Total]])</f>
        <v>124</v>
      </c>
      <c r="F182" s="96">
        <v>144</v>
      </c>
      <c r="G182" s="63">
        <v>69</v>
      </c>
      <c r="H182" s="93">
        <f>UninsLT18to64[[#This Row],[Alternate Adj. Total]]*(UninsLT18to64[[#This Row],[138 to 199% of FPL - Uninsured]]/UninsLT18to64[[#This Row],[Total]])</f>
        <v>69</v>
      </c>
      <c r="I182" s="96">
        <v>81</v>
      </c>
      <c r="J182" s="63">
        <v>380</v>
      </c>
      <c r="K182" s="93">
        <f>UninsLT18to64[[#This Row],[Alternate Adj. Total]]*(UninsLT18to64[[#This Row],[200 to 399% of FPL - Uninsured]]/UninsLT18to64[[#This Row],[Total]])</f>
        <v>380</v>
      </c>
      <c r="L182" s="96">
        <v>199</v>
      </c>
      <c r="M182" s="63">
        <v>149</v>
      </c>
      <c r="N182" s="93">
        <f>UninsLT18to64[[#This Row],[Alternate Adj. Total]]*(UninsLT18to64[[#This Row],[400% FPL and over - Uninsured]]/UninsLT18to64[[#This Row],[Total]])</f>
        <v>149</v>
      </c>
      <c r="O182" s="96">
        <v>100</v>
      </c>
      <c r="P182" s="64">
        <f>SUM(UninsLT18to64[[#This Row],[Below 138% of FPL - Uninsured]]+UninsLT18to64[[#This Row],[138 to 199% of FPL - Uninsured]]+UninsLT18to64[[#This Row],[200 to 399% of FPL - Uninsured]]+UninsLT18to64[[#This Row],[400% FPL and over - Uninsured]])</f>
        <v>722</v>
      </c>
      <c r="Q182" s="83">
        <v>0.10085708023598626</v>
      </c>
      <c r="R18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722</v>
      </c>
      <c r="S182" s="70">
        <f>IF(UninsLT18to64[[#This Row],[Total]]&lt;1000,UninsLT18to64[[#This Row],[Total]],MAX(VLOOKUP(UninsLT18to64[[#This Row],[ZIP Code]],IRSzipToCntyTbl[#All],3,0),(UninsLT18to64[[#This Row],[Total]]-(109811*(VLOOKUP(UninsLT18to64[[#This Row],[ZIP Code]],CitizenshipTbl[#All],4,0))))*0.8))</f>
        <v>722</v>
      </c>
      <c r="V182" s="71"/>
    </row>
    <row r="183" spans="1:22" x14ac:dyDescent="0.3">
      <c r="A183" s="62">
        <v>21632</v>
      </c>
      <c r="B183" s="63" t="str">
        <f>VLOOKUP(A183,ZipToCntyTbl[#All],2,0)</f>
        <v>Federalsburg</v>
      </c>
      <c r="C183" s="63" t="str">
        <f>VLOOKUP(A183,ZipToCntyTbl[#All],3,0)</f>
        <v>Caroline</v>
      </c>
      <c r="D183" s="63">
        <v>161</v>
      </c>
      <c r="E183" s="93">
        <f>UninsLT18to64[[#This Row],[Alternate Adj. Total]]*(UninsLT18to64[[#This Row],[Below 138% of FPL - Uninsured]]/UninsLT18to64[[#This Row],[Total]])</f>
        <v>161</v>
      </c>
      <c r="F183" s="96">
        <v>144</v>
      </c>
      <c r="G183" s="63">
        <v>69</v>
      </c>
      <c r="H183" s="93">
        <f>UninsLT18to64[[#This Row],[Alternate Adj. Total]]*(UninsLT18to64[[#This Row],[138 to 199% of FPL - Uninsured]]/UninsLT18to64[[#This Row],[Total]])</f>
        <v>69</v>
      </c>
      <c r="I183" s="96">
        <v>96</v>
      </c>
      <c r="J183" s="63">
        <v>153</v>
      </c>
      <c r="K183" s="93">
        <f>UninsLT18to64[[#This Row],[Alternate Adj. Total]]*(UninsLT18to64[[#This Row],[200 to 399% of FPL - Uninsured]]/UninsLT18to64[[#This Row],[Total]])</f>
        <v>153</v>
      </c>
      <c r="L183" s="96">
        <v>98</v>
      </c>
      <c r="M183" s="63">
        <v>38</v>
      </c>
      <c r="N183" s="93">
        <f>UninsLT18to64[[#This Row],[Alternate Adj. Total]]*(UninsLT18to64[[#This Row],[400% FPL and over - Uninsured]]/UninsLT18to64[[#This Row],[Total]])</f>
        <v>38</v>
      </c>
      <c r="O183" s="96">
        <v>60</v>
      </c>
      <c r="P183" s="64">
        <f>SUM(UninsLT18to64[[#This Row],[Below 138% of FPL - Uninsured]]+UninsLT18to64[[#This Row],[138 to 199% of FPL - Uninsured]]+UninsLT18to64[[#This Row],[200 to 399% of FPL - Uninsured]]+UninsLT18to64[[#This Row],[400% FPL and over - Uninsured]])</f>
        <v>421</v>
      </c>
      <c r="Q183" s="83">
        <v>0.1729662991220477</v>
      </c>
      <c r="R18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421</v>
      </c>
      <c r="S183" s="70">
        <f>IF(UninsLT18to64[[#This Row],[Total]]&lt;1000,UninsLT18to64[[#This Row],[Total]],MAX(VLOOKUP(UninsLT18to64[[#This Row],[ZIP Code]],IRSzipToCntyTbl[#All],3,0),(UninsLT18to64[[#This Row],[Total]]-(109811*(VLOOKUP(UninsLT18to64[[#This Row],[ZIP Code]],CitizenshipTbl[#All],4,0))))*0.8))</f>
        <v>421</v>
      </c>
      <c r="V183" s="71"/>
    </row>
    <row r="184" spans="1:22" x14ac:dyDescent="0.3">
      <c r="A184" s="62">
        <v>21639</v>
      </c>
      <c r="B184" s="63" t="str">
        <f>VLOOKUP(A184,ZipToCntyTbl[#All],2,0)</f>
        <v>Greensboro</v>
      </c>
      <c r="C184" s="63" t="str">
        <f>VLOOKUP(A184,ZipToCntyTbl[#All],3,0)</f>
        <v>Caroline</v>
      </c>
      <c r="D184" s="63">
        <v>89</v>
      </c>
      <c r="E184" s="93">
        <f>UninsLT18to64[[#This Row],[Alternate Adj. Total]]*(UninsLT18to64[[#This Row],[Below 138% of FPL - Uninsured]]/UninsLT18to64[[#This Row],[Total]])</f>
        <v>89</v>
      </c>
      <c r="F184" s="96">
        <v>96</v>
      </c>
      <c r="G184" s="63">
        <v>69</v>
      </c>
      <c r="H184" s="93">
        <f>UninsLT18to64[[#This Row],[Alternate Adj. Total]]*(UninsLT18to64[[#This Row],[138 to 199% of FPL - Uninsured]]/UninsLT18to64[[#This Row],[Total]])</f>
        <v>69</v>
      </c>
      <c r="I184" s="96">
        <v>66</v>
      </c>
      <c r="J184" s="63">
        <v>136</v>
      </c>
      <c r="K184" s="93">
        <f>UninsLT18to64[[#This Row],[Alternate Adj. Total]]*(UninsLT18to64[[#This Row],[200 to 399% of FPL - Uninsured]]/UninsLT18to64[[#This Row],[Total]])</f>
        <v>136</v>
      </c>
      <c r="L184" s="96">
        <v>124</v>
      </c>
      <c r="M184" s="63">
        <v>14</v>
      </c>
      <c r="N184" s="93">
        <f>UninsLT18to64[[#This Row],[Alternate Adj. Total]]*(UninsLT18to64[[#This Row],[400% FPL and over - Uninsured]]/UninsLT18to64[[#This Row],[Total]])</f>
        <v>14</v>
      </c>
      <c r="O184" s="96">
        <v>36</v>
      </c>
      <c r="P184" s="64">
        <f>SUM(UninsLT18to64[[#This Row],[Below 138% of FPL - Uninsured]]+UninsLT18to64[[#This Row],[138 to 199% of FPL - Uninsured]]+UninsLT18to64[[#This Row],[200 to 399% of FPL - Uninsured]]+UninsLT18to64[[#This Row],[400% FPL and over - Uninsured]])</f>
        <v>308</v>
      </c>
      <c r="Q184" s="83">
        <v>0.23642471405968207</v>
      </c>
      <c r="R18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308</v>
      </c>
      <c r="S184" s="70">
        <f>IF(UninsLT18to64[[#This Row],[Total]]&lt;1000,UninsLT18to64[[#This Row],[Total]],MAX(VLOOKUP(UninsLT18to64[[#This Row],[ZIP Code]],IRSzipToCntyTbl[#All],3,0),(UninsLT18to64[[#This Row],[Total]]-(109811*(VLOOKUP(UninsLT18to64[[#This Row],[ZIP Code]],CitizenshipTbl[#All],4,0))))*0.8))</f>
        <v>308</v>
      </c>
      <c r="V184" s="71"/>
    </row>
    <row r="185" spans="1:22" x14ac:dyDescent="0.3">
      <c r="A185" s="62">
        <v>21643</v>
      </c>
      <c r="B185" s="63" t="str">
        <f>VLOOKUP(A185,ZipToCntyTbl[#All],2,0)</f>
        <v>Hurlock</v>
      </c>
      <c r="C185" s="63" t="str">
        <f>VLOOKUP(A185,ZipToCntyTbl[#All],3,0)</f>
        <v>Dorchester</v>
      </c>
      <c r="D185" s="63">
        <v>48</v>
      </c>
      <c r="E185" s="93">
        <f>UninsLT18to64[[#This Row],[Alternate Adj. Total]]*(UninsLT18to64[[#This Row],[Below 138% of FPL - Uninsured]]/UninsLT18to64[[#This Row],[Total]])</f>
        <v>48</v>
      </c>
      <c r="F185" s="96">
        <v>82</v>
      </c>
      <c r="G185" s="63">
        <v>74</v>
      </c>
      <c r="H185" s="93">
        <f>UninsLT18to64[[#This Row],[Alternate Adj. Total]]*(UninsLT18to64[[#This Row],[138 to 199% of FPL - Uninsured]]/UninsLT18to64[[#This Row],[Total]])</f>
        <v>74</v>
      </c>
      <c r="I185" s="96">
        <v>76</v>
      </c>
      <c r="J185" s="63">
        <v>199</v>
      </c>
      <c r="K185" s="93">
        <f>UninsLT18to64[[#This Row],[Alternate Adj. Total]]*(UninsLT18to64[[#This Row],[200 to 399% of FPL - Uninsured]]/UninsLT18to64[[#This Row],[Total]])</f>
        <v>199</v>
      </c>
      <c r="L185" s="96">
        <v>136</v>
      </c>
      <c r="M185" s="63">
        <v>7</v>
      </c>
      <c r="N185" s="93">
        <f>UninsLT18to64[[#This Row],[Alternate Adj. Total]]*(UninsLT18to64[[#This Row],[400% FPL and over - Uninsured]]/UninsLT18to64[[#This Row],[Total]])</f>
        <v>7.0000000000000009</v>
      </c>
      <c r="O185" s="96">
        <v>30</v>
      </c>
      <c r="P185" s="64">
        <f>SUM(UninsLT18to64[[#This Row],[Below 138% of FPL - Uninsured]]+UninsLT18to64[[#This Row],[138 to 199% of FPL - Uninsured]]+UninsLT18to64[[#This Row],[200 to 399% of FPL - Uninsured]]+UninsLT18to64[[#This Row],[400% FPL and over - Uninsured]])</f>
        <v>328</v>
      </c>
      <c r="Q185" s="83">
        <v>0.22200857295848195</v>
      </c>
      <c r="R18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328</v>
      </c>
      <c r="S185" s="70">
        <f>IF(UninsLT18to64[[#This Row],[Total]]&lt;1000,UninsLT18to64[[#This Row],[Total]],MAX(VLOOKUP(UninsLT18to64[[#This Row],[ZIP Code]],IRSzipToCntyTbl[#All],3,0),(UninsLT18to64[[#This Row],[Total]]-(109811*(VLOOKUP(UninsLT18to64[[#This Row],[ZIP Code]],CitizenshipTbl[#All],4,0))))*0.8))</f>
        <v>328</v>
      </c>
      <c r="V185" s="71"/>
    </row>
    <row r="186" spans="1:22" x14ac:dyDescent="0.3">
      <c r="A186" s="62">
        <v>21649</v>
      </c>
      <c r="B186" s="63" t="str">
        <f>VLOOKUP(A186,ZipToCntyTbl[#All],2,0)</f>
        <v>Marydel</v>
      </c>
      <c r="C186" s="63" t="str">
        <f>VLOOKUP(A186,ZipToCntyTbl[#All],3,0)</f>
        <v>Caroline</v>
      </c>
      <c r="D186" s="63">
        <v>337</v>
      </c>
      <c r="E186" s="93">
        <f>UninsLT18to64[[#This Row],[Alternate Adj. Total]]*(UninsLT18to64[[#This Row],[Below 138% of FPL - Uninsured]]/UninsLT18to64[[#This Row],[Total]])</f>
        <v>337</v>
      </c>
      <c r="F186" s="96">
        <v>252</v>
      </c>
      <c r="G186" s="63">
        <v>46</v>
      </c>
      <c r="H186" s="93">
        <f>UninsLT18to64[[#This Row],[Alternate Adj. Total]]*(UninsLT18to64[[#This Row],[138 to 199% of FPL - Uninsured]]/UninsLT18to64[[#This Row],[Total]])</f>
        <v>46</v>
      </c>
      <c r="I186" s="96">
        <v>49</v>
      </c>
      <c r="J186" s="63">
        <v>107</v>
      </c>
      <c r="K186" s="93">
        <f>UninsLT18to64[[#This Row],[Alternate Adj. Total]]*(UninsLT18to64[[#This Row],[200 to 399% of FPL - Uninsured]]/UninsLT18to64[[#This Row],[Total]])</f>
        <v>107</v>
      </c>
      <c r="L186" s="96">
        <v>84</v>
      </c>
      <c r="M186" s="63">
        <v>3</v>
      </c>
      <c r="N186" s="93">
        <f>UninsLT18to64[[#This Row],[Alternate Adj. Total]]*(UninsLT18to64[[#This Row],[400% FPL and over - Uninsured]]/UninsLT18to64[[#This Row],[Total]])</f>
        <v>3</v>
      </c>
      <c r="O186" s="96">
        <v>17</v>
      </c>
      <c r="P186" s="64">
        <f>SUM(UninsLT18to64[[#This Row],[Below 138% of FPL - Uninsured]]+UninsLT18to64[[#This Row],[138 to 199% of FPL - Uninsured]]+UninsLT18to64[[#This Row],[200 to 399% of FPL - Uninsured]]+UninsLT18to64[[#This Row],[400% FPL and over - Uninsured]])</f>
        <v>493</v>
      </c>
      <c r="Q186" s="83">
        <v>0.14770550087298598</v>
      </c>
      <c r="R18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493</v>
      </c>
      <c r="S186" s="70">
        <f>IF(UninsLT18to64[[#This Row],[Total]]&lt;1000,UninsLT18to64[[#This Row],[Total]],MAX(VLOOKUP(UninsLT18to64[[#This Row],[ZIP Code]],IRSzipToCntyTbl[#All],3,0),(UninsLT18to64[[#This Row],[Total]]-(109811*(VLOOKUP(UninsLT18to64[[#This Row],[ZIP Code]],CitizenshipTbl[#All],4,0))))*0.8))</f>
        <v>493</v>
      </c>
      <c r="V186" s="71"/>
    </row>
    <row r="187" spans="1:22" x14ac:dyDescent="0.3">
      <c r="A187" s="62">
        <v>21651</v>
      </c>
      <c r="B187" s="63" t="str">
        <f>VLOOKUP(A187,ZipToCntyTbl[#All],2,0)</f>
        <v>Millington</v>
      </c>
      <c r="C187" s="63" t="str">
        <f>VLOOKUP(A187,ZipToCntyTbl[#All],3,0)</f>
        <v>Kent</v>
      </c>
      <c r="D187" s="63">
        <v>146</v>
      </c>
      <c r="E187" s="93">
        <f>UninsLT18to64[[#This Row],[Alternate Adj. Total]]*(UninsLT18to64[[#This Row],[Below 138% of FPL - Uninsured]]/UninsLT18to64[[#This Row],[Total]])</f>
        <v>146</v>
      </c>
      <c r="F187" s="96">
        <v>155</v>
      </c>
      <c r="G187" s="63">
        <v>36</v>
      </c>
      <c r="H187" s="93">
        <f>UninsLT18to64[[#This Row],[Alternate Adj. Total]]*(UninsLT18to64[[#This Row],[138 to 199% of FPL - Uninsured]]/UninsLT18to64[[#This Row],[Total]])</f>
        <v>36</v>
      </c>
      <c r="I187" s="96">
        <v>54</v>
      </c>
      <c r="J187" s="63">
        <v>30</v>
      </c>
      <c r="K187" s="93">
        <f>UninsLT18to64[[#This Row],[Alternate Adj. Total]]*(UninsLT18to64[[#This Row],[200 to 399% of FPL - Uninsured]]/UninsLT18to64[[#This Row],[Total]])</f>
        <v>30</v>
      </c>
      <c r="L187" s="96">
        <v>37</v>
      </c>
      <c r="M187" s="63">
        <v>131</v>
      </c>
      <c r="N187" s="93">
        <f>UninsLT18to64[[#This Row],[Alternate Adj. Total]]*(UninsLT18to64[[#This Row],[400% FPL and over - Uninsured]]/UninsLT18to64[[#This Row],[Total]])</f>
        <v>131</v>
      </c>
      <c r="O187" s="96">
        <v>124</v>
      </c>
      <c r="P187" s="64">
        <f>SUM(UninsLT18to64[[#This Row],[Below 138% of FPL - Uninsured]]+UninsLT18to64[[#This Row],[138 to 199% of FPL - Uninsured]]+UninsLT18to64[[#This Row],[200 to 399% of FPL - Uninsured]]+UninsLT18to64[[#This Row],[400% FPL and over - Uninsured]])</f>
        <v>343</v>
      </c>
      <c r="Q187" s="83">
        <v>0.21229974323726555</v>
      </c>
      <c r="R18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343</v>
      </c>
      <c r="S187" s="70">
        <f>IF(UninsLT18to64[[#This Row],[Total]]&lt;1000,UninsLT18to64[[#This Row],[Total]],MAX(VLOOKUP(UninsLT18to64[[#This Row],[ZIP Code]],IRSzipToCntyTbl[#All],3,0),(UninsLT18to64[[#This Row],[Total]]-(109811*(VLOOKUP(UninsLT18to64[[#This Row],[ZIP Code]],CitizenshipTbl[#All],4,0))))*0.8))</f>
        <v>343</v>
      </c>
      <c r="V187" s="71"/>
    </row>
    <row r="188" spans="1:22" x14ac:dyDescent="0.3">
      <c r="A188" s="62">
        <v>21655</v>
      </c>
      <c r="B188" s="63" t="str">
        <f>VLOOKUP(A188,ZipToCntyTbl[#All],2,0)</f>
        <v>Preston</v>
      </c>
      <c r="C188" s="63" t="str">
        <f>VLOOKUP(A188,ZipToCntyTbl[#All],3,0)</f>
        <v>Caroline</v>
      </c>
      <c r="D188" s="63">
        <v>44</v>
      </c>
      <c r="E188" s="93">
        <f>UninsLT18to64[[#This Row],[Alternate Adj. Total]]*(UninsLT18to64[[#This Row],[Below 138% of FPL - Uninsured]]/UninsLT18to64[[#This Row],[Total]])</f>
        <v>44</v>
      </c>
      <c r="F188" s="96">
        <v>92</v>
      </c>
      <c r="G188" s="63">
        <v>17</v>
      </c>
      <c r="H188" s="93">
        <f>UninsLT18to64[[#This Row],[Alternate Adj. Total]]*(UninsLT18to64[[#This Row],[138 to 199% of FPL - Uninsured]]/UninsLT18to64[[#This Row],[Total]])</f>
        <v>17</v>
      </c>
      <c r="I188" s="96">
        <v>37</v>
      </c>
      <c r="J188" s="63">
        <v>91</v>
      </c>
      <c r="K188" s="93">
        <f>UninsLT18to64[[#This Row],[Alternate Adj. Total]]*(UninsLT18to64[[#This Row],[200 to 399% of FPL - Uninsured]]/UninsLT18to64[[#This Row],[Total]])</f>
        <v>91</v>
      </c>
      <c r="L188" s="96">
        <v>68</v>
      </c>
      <c r="M188" s="63">
        <v>140</v>
      </c>
      <c r="N188" s="93">
        <f>UninsLT18to64[[#This Row],[Alternate Adj. Total]]*(UninsLT18to64[[#This Row],[400% FPL and over - Uninsured]]/UninsLT18to64[[#This Row],[Total]])</f>
        <v>140</v>
      </c>
      <c r="O188" s="96">
        <v>121</v>
      </c>
      <c r="P188" s="64">
        <f>SUM(UninsLT18to64[[#This Row],[Below 138% of FPL - Uninsured]]+UninsLT18to64[[#This Row],[138 to 199% of FPL - Uninsured]]+UninsLT18to64[[#This Row],[200 to 399% of FPL - Uninsured]]+UninsLT18to64[[#This Row],[400% FPL and over - Uninsured]])</f>
        <v>292</v>
      </c>
      <c r="Q188" s="83">
        <v>0.24937949291226741</v>
      </c>
      <c r="R18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292</v>
      </c>
      <c r="S188" s="70">
        <f>IF(UninsLT18to64[[#This Row],[Total]]&lt;1000,UninsLT18to64[[#This Row],[Total]],MAX(VLOOKUP(UninsLT18to64[[#This Row],[ZIP Code]],IRSzipToCntyTbl[#All],3,0),(UninsLT18to64[[#This Row],[Total]]-(109811*(VLOOKUP(UninsLT18to64[[#This Row],[ZIP Code]],CitizenshipTbl[#All],4,0))))*0.8))</f>
        <v>292</v>
      </c>
      <c r="V188" s="71"/>
    </row>
    <row r="189" spans="1:22" x14ac:dyDescent="0.3">
      <c r="A189" s="62">
        <v>21660</v>
      </c>
      <c r="B189" s="63" t="str">
        <f>VLOOKUP(A189,ZipToCntyTbl[#All],2,0)</f>
        <v>Ridgely</v>
      </c>
      <c r="C189" s="63" t="str">
        <f>VLOOKUP(A189,ZipToCntyTbl[#All],3,0)</f>
        <v>Caroline</v>
      </c>
      <c r="D189" s="63">
        <v>92</v>
      </c>
      <c r="E189" s="93">
        <f>UninsLT18to64[[#This Row],[Alternate Adj. Total]]*(UninsLT18to64[[#This Row],[Below 138% of FPL - Uninsured]]/UninsLT18to64[[#This Row],[Total]])</f>
        <v>92</v>
      </c>
      <c r="F189" s="96">
        <v>102</v>
      </c>
      <c r="G189" s="63">
        <v>35</v>
      </c>
      <c r="H189" s="93">
        <f>UninsLT18to64[[#This Row],[Alternate Adj. Total]]*(UninsLT18to64[[#This Row],[138 to 199% of FPL - Uninsured]]/UninsLT18to64[[#This Row],[Total]])</f>
        <v>35</v>
      </c>
      <c r="I189" s="96">
        <v>40</v>
      </c>
      <c r="J189" s="63">
        <v>107</v>
      </c>
      <c r="K189" s="93">
        <f>UninsLT18to64[[#This Row],[Alternate Adj. Total]]*(UninsLT18to64[[#This Row],[200 to 399% of FPL - Uninsured]]/UninsLT18to64[[#This Row],[Total]])</f>
        <v>107</v>
      </c>
      <c r="L189" s="96">
        <v>84</v>
      </c>
      <c r="M189" s="63">
        <v>29</v>
      </c>
      <c r="N189" s="93">
        <f>UninsLT18to64[[#This Row],[Alternate Adj. Total]]*(UninsLT18to64[[#This Row],[400% FPL and over - Uninsured]]/UninsLT18to64[[#This Row],[Total]])</f>
        <v>29</v>
      </c>
      <c r="O189" s="96">
        <v>35</v>
      </c>
      <c r="P189" s="64">
        <f>SUM(UninsLT18to64[[#This Row],[Below 138% of FPL - Uninsured]]+UninsLT18to64[[#This Row],[138 to 199% of FPL - Uninsured]]+UninsLT18to64[[#This Row],[200 to 399% of FPL - Uninsured]]+UninsLT18to64[[#This Row],[400% FPL and over - Uninsured]])</f>
        <v>263</v>
      </c>
      <c r="Q189" s="83">
        <v>0.27687761190259347</v>
      </c>
      <c r="R18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263</v>
      </c>
      <c r="S189" s="70">
        <f>IF(UninsLT18to64[[#This Row],[Total]]&lt;1000,UninsLT18to64[[#This Row],[Total]],MAX(VLOOKUP(UninsLT18to64[[#This Row],[ZIP Code]],IRSzipToCntyTbl[#All],3,0),(UninsLT18to64[[#This Row],[Total]]-(109811*(VLOOKUP(UninsLT18to64[[#This Row],[ZIP Code]],CitizenshipTbl[#All],4,0))))*0.8))</f>
        <v>263</v>
      </c>
      <c r="V189" s="71"/>
    </row>
    <row r="190" spans="1:22" x14ac:dyDescent="0.3">
      <c r="A190" s="62">
        <v>21666</v>
      </c>
      <c r="B190" s="63" t="str">
        <f>VLOOKUP(A190,ZipToCntyTbl[#All],2,0)</f>
        <v>Stevensville</v>
      </c>
      <c r="C190" s="63" t="str">
        <f>VLOOKUP(A190,ZipToCntyTbl[#All],3,0)</f>
        <v>Queen Annes</v>
      </c>
      <c r="D190" s="63">
        <v>36</v>
      </c>
      <c r="E190" s="93">
        <f>UninsLT18to64[[#This Row],[Alternate Adj. Total]]*(UninsLT18to64[[#This Row],[Below 138% of FPL - Uninsured]]/UninsLT18to64[[#This Row],[Total]])</f>
        <v>36</v>
      </c>
      <c r="F190" s="96">
        <v>88</v>
      </c>
      <c r="G190" s="63">
        <v>26</v>
      </c>
      <c r="H190" s="93">
        <f>UninsLT18to64[[#This Row],[Alternate Adj. Total]]*(UninsLT18to64[[#This Row],[138 to 199% of FPL - Uninsured]]/UninsLT18to64[[#This Row],[Total]])</f>
        <v>26</v>
      </c>
      <c r="I190" s="96">
        <v>64</v>
      </c>
      <c r="J190" s="63">
        <v>202</v>
      </c>
      <c r="K190" s="93">
        <f>UninsLT18to64[[#This Row],[Alternate Adj. Total]]*(UninsLT18to64[[#This Row],[200 to 399% of FPL - Uninsured]]/UninsLT18to64[[#This Row],[Total]])</f>
        <v>202</v>
      </c>
      <c r="L190" s="96">
        <v>123</v>
      </c>
      <c r="M190" s="63">
        <v>57</v>
      </c>
      <c r="N190" s="93">
        <f>UninsLT18to64[[#This Row],[Alternate Adj. Total]]*(UninsLT18to64[[#This Row],[400% FPL and over - Uninsured]]/UninsLT18to64[[#This Row],[Total]])</f>
        <v>57</v>
      </c>
      <c r="O190" s="96">
        <v>68</v>
      </c>
      <c r="P190" s="64">
        <f>SUM(UninsLT18to64[[#This Row],[Below 138% of FPL - Uninsured]]+UninsLT18to64[[#This Row],[138 to 199% of FPL - Uninsured]]+UninsLT18to64[[#This Row],[200 to 399% of FPL - Uninsured]]+UninsLT18to64[[#This Row],[400% FPL and over - Uninsured]])</f>
        <v>321</v>
      </c>
      <c r="Q190" s="83">
        <v>0.22684988140305945</v>
      </c>
      <c r="R19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321</v>
      </c>
      <c r="S190" s="70">
        <f>IF(UninsLT18to64[[#This Row],[Total]]&lt;1000,UninsLT18to64[[#This Row],[Total]],MAX(VLOOKUP(UninsLT18to64[[#This Row],[ZIP Code]],IRSzipToCntyTbl[#All],3,0),(UninsLT18to64[[#This Row],[Total]]-(109811*(VLOOKUP(UninsLT18to64[[#This Row],[ZIP Code]],CitizenshipTbl[#All],4,0))))*0.8))</f>
        <v>321</v>
      </c>
      <c r="V190" s="71"/>
    </row>
    <row r="191" spans="1:22" x14ac:dyDescent="0.3">
      <c r="A191" s="62">
        <v>21701</v>
      </c>
      <c r="B191" s="63" t="str">
        <f>VLOOKUP(A191,ZipToCntyTbl[#All],2,0)</f>
        <v>Frederick</v>
      </c>
      <c r="C191" s="63" t="str">
        <f>VLOOKUP(A191,ZipToCntyTbl[#All],3,0)</f>
        <v>Frederick</v>
      </c>
      <c r="D191" s="63">
        <v>471</v>
      </c>
      <c r="E191" s="93">
        <f>UninsLT18to64[[#This Row],[Alternate Adj. Total]]*(UninsLT18to64[[#This Row],[Below 138% of FPL - Uninsured]]/UninsLT18to64[[#This Row],[Total]])</f>
        <v>311.69845009631251</v>
      </c>
      <c r="F191" s="96">
        <v>283</v>
      </c>
      <c r="G191" s="63">
        <v>250</v>
      </c>
      <c r="H191" s="93">
        <f>UninsLT18to64[[#This Row],[Alternate Adj. Total]]*(UninsLT18to64[[#This Row],[138 to 199% of FPL - Uninsured]]/UninsLT18to64[[#This Row],[Total]])</f>
        <v>165.44503720611067</v>
      </c>
      <c r="I191" s="96">
        <v>162</v>
      </c>
      <c r="J191" s="63">
        <v>780</v>
      </c>
      <c r="K191" s="93">
        <f>UninsLT18to64[[#This Row],[Alternate Adj. Total]]*(UninsLT18to64[[#This Row],[200 to 399% of FPL - Uninsured]]/UninsLT18to64[[#This Row],[Total]])</f>
        <v>516.18851608306534</v>
      </c>
      <c r="L191" s="96">
        <v>331</v>
      </c>
      <c r="M191" s="63">
        <v>448</v>
      </c>
      <c r="N191" s="93">
        <f>UninsLT18to64[[#This Row],[Alternate Adj. Total]]*(UninsLT18to64[[#This Row],[400% FPL and over - Uninsured]]/UninsLT18to64[[#This Row],[Total]])</f>
        <v>296.47750667335038</v>
      </c>
      <c r="O191" s="96">
        <v>202</v>
      </c>
      <c r="P191" s="64">
        <f>SUM(UninsLT18to64[[#This Row],[Below 138% of FPL - Uninsured]]+UninsLT18to64[[#This Row],[138 to 199% of FPL - Uninsured]]+UninsLT18to64[[#This Row],[200 to 399% of FPL - Uninsured]]+UninsLT18to64[[#This Row],[400% FPL and over - Uninsured]])</f>
        <v>1949</v>
      </c>
      <c r="Q191" s="83">
        <v>3.7362140549195524E-2</v>
      </c>
      <c r="R19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1175.2</v>
      </c>
      <c r="S191" s="70">
        <f>IF(UninsLT18to64[[#This Row],[Total]]&lt;1000,UninsLT18to64[[#This Row],[Total]],MAX(VLOOKUP(UninsLT18to64[[#This Row],[ZIP Code]],IRSzipToCntyTbl[#All],3,0),(UninsLT18to64[[#This Row],[Total]]-(109811*(VLOOKUP(UninsLT18to64[[#This Row],[ZIP Code]],CitizenshipTbl[#All],4,0))))*0.8))</f>
        <v>1289.8095100588389</v>
      </c>
      <c r="V191" s="71"/>
    </row>
    <row r="192" spans="1:22" x14ac:dyDescent="0.3">
      <c r="A192" s="62">
        <v>21702</v>
      </c>
      <c r="B192" s="63" t="str">
        <f>VLOOKUP(A192,ZipToCntyTbl[#All],2,0)</f>
        <v>Frederick</v>
      </c>
      <c r="C192" s="63" t="str">
        <f>VLOOKUP(A192,ZipToCntyTbl[#All],3,0)</f>
        <v>Frederick</v>
      </c>
      <c r="D192" s="63">
        <v>415</v>
      </c>
      <c r="E192" s="93">
        <f>UninsLT18to64[[#This Row],[Alternate Adj. Total]]*(UninsLT18to64[[#This Row],[Below 138% of FPL - Uninsured]]/UninsLT18to64[[#This Row],[Total]])</f>
        <v>238.52115682798478</v>
      </c>
      <c r="F192" s="96">
        <v>363</v>
      </c>
      <c r="G192" s="63">
        <v>397</v>
      </c>
      <c r="H192" s="93">
        <f>UninsLT18to64[[#This Row],[Alternate Adj. Total]]*(UninsLT18to64[[#This Row],[138 to 199% of FPL - Uninsured]]/UninsLT18to64[[#This Row],[Total]])</f>
        <v>228.1756608691806</v>
      </c>
      <c r="I192" s="96">
        <v>353</v>
      </c>
      <c r="J192" s="63">
        <v>1560</v>
      </c>
      <c r="K192" s="93">
        <f>UninsLT18to64[[#This Row],[Alternate Adj. Total]]*(UninsLT18to64[[#This Row],[200 to 399% of FPL - Uninsured]]/UninsLT18to64[[#This Row],[Total]])</f>
        <v>896.60964976302716</v>
      </c>
      <c r="L192" s="96">
        <v>520</v>
      </c>
      <c r="M192" s="63">
        <v>441</v>
      </c>
      <c r="N192" s="93">
        <f>UninsLT18to64[[#This Row],[Alternate Adj. Total]]*(UninsLT18to64[[#This Row],[400% FPL and over - Uninsured]]/UninsLT18to64[[#This Row],[Total]])</f>
        <v>253.4646509907019</v>
      </c>
      <c r="O192" s="96">
        <v>233</v>
      </c>
      <c r="P192" s="64">
        <f>SUM(UninsLT18to64[[#This Row],[Below 138% of FPL - Uninsured]]+UninsLT18to64[[#This Row],[138 to 199% of FPL - Uninsured]]+UninsLT18to64[[#This Row],[200 to 399% of FPL - Uninsured]]+UninsLT18to64[[#This Row],[400% FPL and over - Uninsured]])</f>
        <v>2813</v>
      </c>
      <c r="Q192" s="83">
        <v>2.5886531080832591E-2</v>
      </c>
      <c r="R19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1347.2</v>
      </c>
      <c r="S192" s="70">
        <f>IF(UninsLT18to64[[#This Row],[Total]]&lt;1000,UninsLT18to64[[#This Row],[Total]],MAX(VLOOKUP(UninsLT18to64[[#This Row],[ZIP Code]],IRSzipToCntyTbl[#All],3,0),(UninsLT18to64[[#This Row],[Total]]-(109811*(VLOOKUP(UninsLT18to64[[#This Row],[ZIP Code]],CitizenshipTbl[#All],4,0))))*0.8))</f>
        <v>1616.7711184508944</v>
      </c>
      <c r="V192" s="71"/>
    </row>
    <row r="193" spans="1:22" x14ac:dyDescent="0.3">
      <c r="A193" s="62">
        <v>21703</v>
      </c>
      <c r="B193" s="63" t="str">
        <f>VLOOKUP(A193,ZipToCntyTbl[#All],2,0)</f>
        <v>Frederick</v>
      </c>
      <c r="C193" s="63" t="str">
        <f>VLOOKUP(A193,ZipToCntyTbl[#All],3,0)</f>
        <v>Frederick</v>
      </c>
      <c r="D193" s="63">
        <v>562</v>
      </c>
      <c r="E193" s="93">
        <f>UninsLT18to64[[#This Row],[Alternate Adj. Total]]*(UninsLT18to64[[#This Row],[Below 138% of FPL - Uninsured]]/UninsLT18to64[[#This Row],[Total]])</f>
        <v>330.60122418804889</v>
      </c>
      <c r="F193" s="96">
        <v>374</v>
      </c>
      <c r="G193" s="63">
        <v>496</v>
      </c>
      <c r="H193" s="93">
        <f>UninsLT18to64[[#This Row],[Alternate Adj. Total]]*(UninsLT18to64[[#This Row],[138 to 199% of FPL - Uninsured]]/UninsLT18to64[[#This Row],[Total]])</f>
        <v>291.77616939016417</v>
      </c>
      <c r="I193" s="96">
        <v>281</v>
      </c>
      <c r="J193" s="63">
        <v>1192</v>
      </c>
      <c r="K193" s="93">
        <f>UninsLT18to64[[#This Row],[Alternate Adj. Total]]*(UninsLT18to64[[#This Row],[200 to 399% of FPL - Uninsured]]/UninsLT18to64[[#This Row],[Total]])</f>
        <v>701.20401998603961</v>
      </c>
      <c r="L193" s="96">
        <v>423</v>
      </c>
      <c r="M193" s="63">
        <v>435</v>
      </c>
      <c r="N193" s="93">
        <f>UninsLT18to64[[#This Row],[Alternate Adj. Total]]*(UninsLT18to64[[#This Row],[400% FPL and over - Uninsured]]/UninsLT18to64[[#This Row],[Total]])</f>
        <v>255.89240662242219</v>
      </c>
      <c r="O193" s="96">
        <v>181</v>
      </c>
      <c r="P193" s="64">
        <f>SUM(UninsLT18to64[[#This Row],[Below 138% of FPL - Uninsured]]+UninsLT18to64[[#This Row],[138 to 199% of FPL - Uninsured]]+UninsLT18to64[[#This Row],[200 to 399% of FPL - Uninsured]]+UninsLT18to64[[#This Row],[400% FPL and over - Uninsured]])</f>
        <v>2685</v>
      </c>
      <c r="Q193" s="83">
        <v>2.7120600346511019E-2</v>
      </c>
      <c r="R19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1337.6000000000001</v>
      </c>
      <c r="S193" s="70">
        <f>IF(UninsLT18to64[[#This Row],[Total]]&lt;1000,UninsLT18to64[[#This Row],[Total]],MAX(VLOOKUP(UninsLT18to64[[#This Row],[ZIP Code]],IRSzipToCntyTbl[#All],3,0),(UninsLT18to64[[#This Row],[Total]]-(109811*(VLOOKUP(UninsLT18to64[[#This Row],[ZIP Code]],CitizenshipTbl[#All],4,0))))*0.8))</f>
        <v>1579.4738201866749</v>
      </c>
      <c r="V193" s="71"/>
    </row>
    <row r="194" spans="1:22" x14ac:dyDescent="0.3">
      <c r="A194" s="62">
        <v>21704</v>
      </c>
      <c r="B194" s="63" t="str">
        <f>VLOOKUP(A194,ZipToCntyTbl[#All],2,0)</f>
        <v>Frederick</v>
      </c>
      <c r="C194" s="63" t="str">
        <f>VLOOKUP(A194,ZipToCntyTbl[#All],3,0)</f>
        <v>Frederick</v>
      </c>
      <c r="D194" s="63">
        <v>110</v>
      </c>
      <c r="E194" s="93">
        <f>UninsLT18to64[[#This Row],[Alternate Adj. Total]]*(UninsLT18to64[[#This Row],[Below 138% of FPL - Uninsured]]/UninsLT18to64[[#This Row],[Total]])</f>
        <v>110</v>
      </c>
      <c r="F194" s="96">
        <v>167</v>
      </c>
      <c r="G194" s="63">
        <v>16</v>
      </c>
      <c r="H194" s="93">
        <f>UninsLT18to64[[#This Row],[Alternate Adj. Total]]*(UninsLT18to64[[#This Row],[138 to 199% of FPL - Uninsured]]/UninsLT18to64[[#This Row],[Total]])</f>
        <v>16</v>
      </c>
      <c r="I194" s="96">
        <v>41</v>
      </c>
      <c r="J194" s="63">
        <v>224</v>
      </c>
      <c r="K194" s="93">
        <f>UninsLT18to64[[#This Row],[Alternate Adj. Total]]*(UninsLT18to64[[#This Row],[200 to 399% of FPL - Uninsured]]/UninsLT18to64[[#This Row],[Total]])</f>
        <v>224.00000000000003</v>
      </c>
      <c r="L194" s="96">
        <v>187</v>
      </c>
      <c r="M194" s="63">
        <v>268</v>
      </c>
      <c r="N194" s="93">
        <f>UninsLT18to64[[#This Row],[Alternate Adj. Total]]*(UninsLT18to64[[#This Row],[400% FPL and over - Uninsured]]/UninsLT18to64[[#This Row],[Total]])</f>
        <v>268</v>
      </c>
      <c r="O194" s="96">
        <v>146</v>
      </c>
      <c r="P194" s="64">
        <f>SUM(UninsLT18to64[[#This Row],[Below 138% of FPL - Uninsured]]+UninsLT18to64[[#This Row],[138 to 199% of FPL - Uninsured]]+UninsLT18to64[[#This Row],[200 to 399% of FPL - Uninsured]]+UninsLT18to64[[#This Row],[400% FPL and over - Uninsured]])</f>
        <v>618</v>
      </c>
      <c r="Q194" s="83">
        <v>0.11782979276760855</v>
      </c>
      <c r="R19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618</v>
      </c>
      <c r="S194" s="70">
        <f>IF(UninsLT18to64[[#This Row],[Total]]&lt;1000,UninsLT18to64[[#This Row],[Total]],MAX(VLOOKUP(UninsLT18to64[[#This Row],[ZIP Code]],IRSzipToCntyTbl[#All],3,0),(UninsLT18to64[[#This Row],[Total]]-(109811*(VLOOKUP(UninsLT18to64[[#This Row],[ZIP Code]],CitizenshipTbl[#All],4,0))))*0.8))</f>
        <v>618</v>
      </c>
      <c r="V194" s="71"/>
    </row>
    <row r="195" spans="1:22" x14ac:dyDescent="0.3">
      <c r="A195" s="62">
        <v>21713</v>
      </c>
      <c r="B195" s="63" t="str">
        <f>VLOOKUP(A195,ZipToCntyTbl[#All],2,0)</f>
        <v>Boonsboro</v>
      </c>
      <c r="C195" s="63" t="str">
        <f>VLOOKUP(A195,ZipToCntyTbl[#All],3,0)</f>
        <v>Washington</v>
      </c>
      <c r="D195" s="63">
        <v>40</v>
      </c>
      <c r="E195" s="93">
        <f>UninsLT18to64[[#This Row],[Alternate Adj. Total]]*(UninsLT18to64[[#This Row],[Below 138% of FPL - Uninsured]]/UninsLT18to64[[#This Row],[Total]])</f>
        <v>40</v>
      </c>
      <c r="F195" s="96">
        <v>107</v>
      </c>
      <c r="G195" s="63">
        <v>236</v>
      </c>
      <c r="H195" s="93">
        <f>UninsLT18to64[[#This Row],[Alternate Adj. Total]]*(UninsLT18to64[[#This Row],[138 to 199% of FPL - Uninsured]]/UninsLT18to64[[#This Row],[Total]])</f>
        <v>236</v>
      </c>
      <c r="I195" s="96">
        <v>239</v>
      </c>
      <c r="J195" s="63">
        <v>157</v>
      </c>
      <c r="K195" s="93">
        <f>UninsLT18to64[[#This Row],[Alternate Adj. Total]]*(UninsLT18to64[[#This Row],[200 to 399% of FPL - Uninsured]]/UninsLT18to64[[#This Row],[Total]])</f>
        <v>157</v>
      </c>
      <c r="L195" s="96">
        <v>119</v>
      </c>
      <c r="M195" s="63">
        <v>39</v>
      </c>
      <c r="N195" s="93">
        <f>UninsLT18to64[[#This Row],[Alternate Adj. Total]]*(UninsLT18to64[[#This Row],[400% FPL and over - Uninsured]]/UninsLT18to64[[#This Row],[Total]])</f>
        <v>39</v>
      </c>
      <c r="O195" s="96">
        <v>54</v>
      </c>
      <c r="P195" s="64">
        <f>SUM(UninsLT18to64[[#This Row],[Below 138% of FPL - Uninsured]]+UninsLT18to64[[#This Row],[138 to 199% of FPL - Uninsured]]+UninsLT18to64[[#This Row],[200 to 399% of FPL - Uninsured]]+UninsLT18to64[[#This Row],[400% FPL and over - Uninsured]])</f>
        <v>472</v>
      </c>
      <c r="Q195" s="83">
        <v>0.15427714392030104</v>
      </c>
      <c r="R19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472</v>
      </c>
      <c r="S195" s="70">
        <f>IF(UninsLT18to64[[#This Row],[Total]]&lt;1000,UninsLT18to64[[#This Row],[Total]],MAX(VLOOKUP(UninsLT18to64[[#This Row],[ZIP Code]],IRSzipToCntyTbl[#All],3,0),(UninsLT18to64[[#This Row],[Total]]-(109811*(VLOOKUP(UninsLT18to64[[#This Row],[ZIP Code]],CitizenshipTbl[#All],4,0))))*0.8))</f>
        <v>472</v>
      </c>
      <c r="V195" s="71"/>
    </row>
    <row r="196" spans="1:22" x14ac:dyDescent="0.3">
      <c r="A196" s="62">
        <v>21722</v>
      </c>
      <c r="B196" s="63" t="str">
        <f>VLOOKUP(A196,ZipToCntyTbl[#All],2,0)</f>
        <v>Clear Spring</v>
      </c>
      <c r="C196" s="63" t="str">
        <f>VLOOKUP(A196,ZipToCntyTbl[#All],3,0)</f>
        <v>Washington</v>
      </c>
      <c r="D196" s="63">
        <v>278</v>
      </c>
      <c r="E196" s="93">
        <f>UninsLT18to64[[#This Row],[Alternate Adj. Total]]*(UninsLT18to64[[#This Row],[Below 138% of FPL - Uninsured]]/UninsLT18to64[[#This Row],[Total]])</f>
        <v>278</v>
      </c>
      <c r="F196" s="96">
        <v>374</v>
      </c>
      <c r="G196" s="63">
        <v>67</v>
      </c>
      <c r="H196" s="93">
        <f>UninsLT18to64[[#This Row],[Alternate Adj. Total]]*(UninsLT18to64[[#This Row],[138 to 199% of FPL - Uninsured]]/UninsLT18to64[[#This Row],[Total]])</f>
        <v>67</v>
      </c>
      <c r="I196" s="96">
        <v>63</v>
      </c>
      <c r="J196" s="63">
        <v>348</v>
      </c>
      <c r="K196" s="93">
        <f>UninsLT18to64[[#This Row],[Alternate Adj. Total]]*(UninsLT18to64[[#This Row],[200 to 399% of FPL - Uninsured]]/UninsLT18to64[[#This Row],[Total]])</f>
        <v>348</v>
      </c>
      <c r="L196" s="96">
        <v>299</v>
      </c>
      <c r="M196" s="63">
        <v>49</v>
      </c>
      <c r="N196" s="93">
        <f>UninsLT18to64[[#This Row],[Alternate Adj. Total]]*(UninsLT18to64[[#This Row],[400% FPL and over - Uninsured]]/UninsLT18to64[[#This Row],[Total]])</f>
        <v>49</v>
      </c>
      <c r="O196" s="96">
        <v>51</v>
      </c>
      <c r="P196" s="64">
        <f>SUM(UninsLT18to64[[#This Row],[Below 138% of FPL - Uninsured]]+UninsLT18to64[[#This Row],[138 to 199% of FPL - Uninsured]]+UninsLT18to64[[#This Row],[200 to 399% of FPL - Uninsured]]+UninsLT18to64[[#This Row],[400% FPL and over - Uninsured]])</f>
        <v>742</v>
      </c>
      <c r="Q196" s="83">
        <v>9.8138560553075585E-2</v>
      </c>
      <c r="R19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742</v>
      </c>
      <c r="S196" s="70">
        <f>IF(UninsLT18to64[[#This Row],[Total]]&lt;1000,UninsLT18to64[[#This Row],[Total]],MAX(VLOOKUP(UninsLT18to64[[#This Row],[ZIP Code]],IRSzipToCntyTbl[#All],3,0),(UninsLT18to64[[#This Row],[Total]]-(109811*(VLOOKUP(UninsLT18to64[[#This Row],[ZIP Code]],CitizenshipTbl[#All],4,0))))*0.8))</f>
        <v>742</v>
      </c>
      <c r="V196" s="71"/>
    </row>
    <row r="197" spans="1:22" x14ac:dyDescent="0.3">
      <c r="A197" s="62">
        <v>21740</v>
      </c>
      <c r="B197" s="63" t="str">
        <f>VLOOKUP(A197,ZipToCntyTbl[#All],2,0)</f>
        <v>Hagerstown</v>
      </c>
      <c r="C197" s="63" t="str">
        <f>VLOOKUP(A197,ZipToCntyTbl[#All],3,0)</f>
        <v>Washington</v>
      </c>
      <c r="D197" s="63">
        <v>1571</v>
      </c>
      <c r="E197" s="93">
        <f>UninsLT18to64[[#This Row],[Alternate Adj. Total]]*(UninsLT18to64[[#This Row],[Below 138% of FPL - Uninsured]]/UninsLT18to64[[#This Row],[Total]])</f>
        <v>1159.9233741699495</v>
      </c>
      <c r="F197" s="96">
        <v>601</v>
      </c>
      <c r="G197" s="63">
        <v>875</v>
      </c>
      <c r="H197" s="93">
        <f>UninsLT18to64[[#This Row],[Alternate Adj. Total]]*(UninsLT18to64[[#This Row],[138 to 199% of FPL - Uninsured]]/UninsLT18to64[[#This Row],[Total]])</f>
        <v>646.04261769491143</v>
      </c>
      <c r="I197" s="96">
        <v>290</v>
      </c>
      <c r="J197" s="63">
        <v>1434</v>
      </c>
      <c r="K197" s="93">
        <f>UninsLT18to64[[#This Row],[Alternate Adj. Total]]*(UninsLT18to64[[#This Row],[200 to 399% of FPL - Uninsured]]/UninsLT18to64[[#This Row],[Total]])</f>
        <v>1058.771558599432</v>
      </c>
      <c r="L197" s="96">
        <v>552</v>
      </c>
      <c r="M197" s="63">
        <v>707</v>
      </c>
      <c r="N197" s="93">
        <f>UninsLT18to64[[#This Row],[Alternate Adj. Total]]*(UninsLT18to64[[#This Row],[400% FPL and over - Uninsured]]/UninsLT18to64[[#This Row],[Total]])</f>
        <v>522.0024350974885</v>
      </c>
      <c r="O197" s="96">
        <v>302</v>
      </c>
      <c r="P197" s="64">
        <f>SUM(UninsLT18to64[[#This Row],[Below 138% of FPL - Uninsured]]+UninsLT18to64[[#This Row],[138 to 199% of FPL - Uninsured]]+UninsLT18to64[[#This Row],[200 to 399% of FPL - Uninsured]]+UninsLT18to64[[#This Row],[400% FPL and over - Uninsured]])</f>
        <v>4587</v>
      </c>
      <c r="Q197" s="83">
        <v>1.5875040752208868E-2</v>
      </c>
      <c r="R19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3266.4</v>
      </c>
      <c r="S197" s="70">
        <f>IF(UninsLT18to64[[#This Row],[Total]]&lt;1000,UninsLT18to64[[#This Row],[Total]],MAX(VLOOKUP(UninsLT18to64[[#This Row],[ZIP Code]],IRSzipToCntyTbl[#All],3,0),(UninsLT18to64[[#This Row],[Total]]-(109811*(VLOOKUP(UninsLT18to64[[#This Row],[ZIP Code]],CitizenshipTbl[#All],4,0))))*0.8))</f>
        <v>3386.7399855617814</v>
      </c>
      <c r="V197" s="71"/>
    </row>
    <row r="198" spans="1:22" x14ac:dyDescent="0.3">
      <c r="A198" s="62">
        <v>21742</v>
      </c>
      <c r="B198" s="63" t="str">
        <f>VLOOKUP(A198,ZipToCntyTbl[#All],2,0)</f>
        <v>Hagerstown</v>
      </c>
      <c r="C198" s="63" t="str">
        <f>VLOOKUP(A198,ZipToCntyTbl[#All],3,0)</f>
        <v>Washington</v>
      </c>
      <c r="D198" s="63">
        <v>506</v>
      </c>
      <c r="E198" s="93">
        <f>UninsLT18to64[[#This Row],[Alternate Adj. Total]]*(UninsLT18to64[[#This Row],[Below 138% of FPL - Uninsured]]/UninsLT18to64[[#This Row],[Total]])</f>
        <v>369.53772113696726</v>
      </c>
      <c r="F198" s="96">
        <v>262</v>
      </c>
      <c r="G198" s="63">
        <v>487</v>
      </c>
      <c r="H198" s="93">
        <f>UninsLT18to64[[#This Row],[Alternate Adj. Total]]*(UninsLT18to64[[#This Row],[138 to 199% of FPL - Uninsured]]/UninsLT18to64[[#This Row],[Total]])</f>
        <v>355.66179880178464</v>
      </c>
      <c r="I198" s="96">
        <v>301</v>
      </c>
      <c r="J198" s="63">
        <v>652</v>
      </c>
      <c r="K198" s="93">
        <f>UninsLT18to64[[#This Row],[Alternate Adj. Total]]*(UninsLT18to64[[#This Row],[200 to 399% of FPL - Uninsured]]/UninsLT18to64[[#This Row],[Total]])</f>
        <v>476.16322960731748</v>
      </c>
      <c r="L198" s="96">
        <v>370</v>
      </c>
      <c r="M198" s="63">
        <v>465</v>
      </c>
      <c r="N198" s="93">
        <f>UninsLT18to64[[#This Row],[Alternate Adj. Total]]*(UninsLT18to64[[#This Row],[400% FPL and over - Uninsured]]/UninsLT18to64[[#This Row],[Total]])</f>
        <v>339.59494136104695</v>
      </c>
      <c r="O198" s="96">
        <v>268</v>
      </c>
      <c r="P198" s="64">
        <f>SUM(UninsLT18to64[[#This Row],[Below 138% of FPL - Uninsured]]+UninsLT18to64[[#This Row],[138 to 199% of FPL - Uninsured]]+UninsLT18to64[[#This Row],[200 to 399% of FPL - Uninsured]]+UninsLT18to64[[#This Row],[400% FPL and over - Uninsured]])</f>
        <v>2110</v>
      </c>
      <c r="Q198" s="83">
        <v>3.45112852750626E-2</v>
      </c>
      <c r="R19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1478.4</v>
      </c>
      <c r="S198" s="70">
        <f>IF(UninsLT18to64[[#This Row],[Total]]&lt;1000,UninsLT18to64[[#This Row],[Total]],MAX(VLOOKUP(UninsLT18to64[[#This Row],[ZIP Code]],IRSzipToCntyTbl[#All],3,0),(UninsLT18to64[[#This Row],[Total]]-(109811*(VLOOKUP(UninsLT18to64[[#This Row],[ZIP Code]],CitizenshipTbl[#All],4,0))))*0.8))</f>
        <v>1540.9576909071163</v>
      </c>
      <c r="V198" s="71"/>
    </row>
    <row r="199" spans="1:22" x14ac:dyDescent="0.3">
      <c r="A199" s="62">
        <v>21757</v>
      </c>
      <c r="B199" s="63" t="str">
        <f>VLOOKUP(A199,ZipToCntyTbl[#All],2,0)</f>
        <v>Keymar</v>
      </c>
      <c r="C199" s="63" t="str">
        <f>VLOOKUP(A199,ZipToCntyTbl[#All],3,0)</f>
        <v>Carroll</v>
      </c>
      <c r="D199" s="63">
        <v>33</v>
      </c>
      <c r="E199" s="93">
        <f>UninsLT18to64[[#This Row],[Alternate Adj. Total]]*(UninsLT18to64[[#This Row],[Below 138% of FPL - Uninsured]]/UninsLT18to64[[#This Row],[Total]])</f>
        <v>33</v>
      </c>
      <c r="F199" s="96">
        <v>74</v>
      </c>
      <c r="G199" s="63">
        <v>5</v>
      </c>
      <c r="H199" s="93">
        <f>UninsLT18to64[[#This Row],[Alternate Adj. Total]]*(UninsLT18to64[[#This Row],[138 to 199% of FPL - Uninsured]]/UninsLT18to64[[#This Row],[Total]])</f>
        <v>5</v>
      </c>
      <c r="I199" s="96">
        <v>19</v>
      </c>
      <c r="J199" s="63">
        <v>229</v>
      </c>
      <c r="K199" s="93">
        <f>UninsLT18to64[[#This Row],[Alternate Adj. Total]]*(UninsLT18to64[[#This Row],[200 to 399% of FPL - Uninsured]]/UninsLT18to64[[#This Row],[Total]])</f>
        <v>229</v>
      </c>
      <c r="L199" s="96">
        <v>187</v>
      </c>
      <c r="M199" s="63">
        <v>40</v>
      </c>
      <c r="N199" s="93">
        <f>UninsLT18to64[[#This Row],[Alternate Adj. Total]]*(UninsLT18to64[[#This Row],[400% FPL and over - Uninsured]]/UninsLT18to64[[#This Row],[Total]])</f>
        <v>40</v>
      </c>
      <c r="O199" s="96">
        <v>48</v>
      </c>
      <c r="P199" s="64">
        <f>SUM(UninsLT18to64[[#This Row],[Below 138% of FPL - Uninsured]]+UninsLT18to64[[#This Row],[138 to 199% of FPL - Uninsured]]+UninsLT18to64[[#This Row],[200 to 399% of FPL - Uninsured]]+UninsLT18to64[[#This Row],[400% FPL and over - Uninsured]])</f>
        <v>307</v>
      </c>
      <c r="Q199" s="83">
        <v>0.23719482713479506</v>
      </c>
      <c r="R19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307</v>
      </c>
      <c r="S199" s="70">
        <f>IF(UninsLT18to64[[#This Row],[Total]]&lt;1000,UninsLT18to64[[#This Row],[Total]],MAX(VLOOKUP(UninsLT18to64[[#This Row],[ZIP Code]],IRSzipToCntyTbl[#All],3,0),(UninsLT18to64[[#This Row],[Total]]-(109811*(VLOOKUP(UninsLT18to64[[#This Row],[ZIP Code]],CitizenshipTbl[#All],4,0))))*0.8))</f>
        <v>307</v>
      </c>
      <c r="V199" s="71"/>
    </row>
    <row r="200" spans="1:22" x14ac:dyDescent="0.3">
      <c r="A200" s="62">
        <v>21769</v>
      </c>
      <c r="B200" s="63" t="str">
        <f>VLOOKUP(A200,ZipToCntyTbl[#All],2,0)</f>
        <v>Middletown</v>
      </c>
      <c r="C200" s="63" t="str">
        <f>VLOOKUP(A200,ZipToCntyTbl[#All],3,0)</f>
        <v>Frederick</v>
      </c>
      <c r="D200" s="63">
        <v>53</v>
      </c>
      <c r="E200" s="93">
        <f>UninsLT18to64[[#This Row],[Alternate Adj. Total]]*(UninsLT18to64[[#This Row],[Below 138% of FPL - Uninsured]]/UninsLT18to64[[#This Row],[Total]])</f>
        <v>53</v>
      </c>
      <c r="F200" s="96">
        <v>93</v>
      </c>
      <c r="G200" s="63">
        <v>33</v>
      </c>
      <c r="H200" s="93">
        <f>UninsLT18to64[[#This Row],[Alternate Adj. Total]]*(UninsLT18to64[[#This Row],[138 to 199% of FPL - Uninsured]]/UninsLT18to64[[#This Row],[Total]])</f>
        <v>33</v>
      </c>
      <c r="I200" s="96">
        <v>45</v>
      </c>
      <c r="J200" s="63">
        <v>121</v>
      </c>
      <c r="K200" s="93">
        <f>UninsLT18to64[[#This Row],[Alternate Adj. Total]]*(UninsLT18to64[[#This Row],[200 to 399% of FPL - Uninsured]]/UninsLT18to64[[#This Row],[Total]])</f>
        <v>121</v>
      </c>
      <c r="L200" s="96">
        <v>99</v>
      </c>
      <c r="M200" s="63">
        <v>62</v>
      </c>
      <c r="N200" s="93">
        <f>UninsLT18to64[[#This Row],[Alternate Adj. Total]]*(UninsLT18to64[[#This Row],[400% FPL and over - Uninsured]]/UninsLT18to64[[#This Row],[Total]])</f>
        <v>62</v>
      </c>
      <c r="O200" s="96">
        <v>51</v>
      </c>
      <c r="P200" s="64">
        <f>SUM(UninsLT18to64[[#This Row],[Below 138% of FPL - Uninsured]]+UninsLT18to64[[#This Row],[138 to 199% of FPL - Uninsured]]+UninsLT18to64[[#This Row],[200 to 399% of FPL - Uninsured]]+UninsLT18to64[[#This Row],[400% FPL and over - Uninsured]])</f>
        <v>269</v>
      </c>
      <c r="Q200" s="83">
        <v>0.27070190308692221</v>
      </c>
      <c r="R20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269</v>
      </c>
      <c r="S200" s="70">
        <f>IF(UninsLT18to64[[#This Row],[Total]]&lt;1000,UninsLT18to64[[#This Row],[Total]],MAX(VLOOKUP(UninsLT18to64[[#This Row],[ZIP Code]],IRSzipToCntyTbl[#All],3,0),(UninsLT18to64[[#This Row],[Total]]-(109811*(VLOOKUP(UninsLT18to64[[#This Row],[ZIP Code]],CitizenshipTbl[#All],4,0))))*0.8))</f>
        <v>269</v>
      </c>
      <c r="V200" s="71"/>
    </row>
    <row r="201" spans="1:22" x14ac:dyDescent="0.3">
      <c r="A201" s="62">
        <v>21771</v>
      </c>
      <c r="B201" s="63" t="str">
        <f>VLOOKUP(A201,ZipToCntyTbl[#All],2,0)</f>
        <v>Mount Airy</v>
      </c>
      <c r="C201" s="63" t="str">
        <f>VLOOKUP(A201,ZipToCntyTbl[#All],3,0)</f>
        <v>Frederick</v>
      </c>
      <c r="D201" s="63">
        <v>188</v>
      </c>
      <c r="E201" s="93">
        <f>UninsLT18to64[[#This Row],[Alternate Adj. Total]]*(UninsLT18to64[[#This Row],[Below 138% of FPL - Uninsured]]/UninsLT18to64[[#This Row],[Total]])</f>
        <v>131.52225733366865</v>
      </c>
      <c r="F201" s="96">
        <v>163</v>
      </c>
      <c r="G201" s="63">
        <v>120</v>
      </c>
      <c r="H201" s="93">
        <f>UninsLT18to64[[#This Row],[Alternate Adj. Total]]*(UninsLT18to64[[#This Row],[138 to 199% of FPL - Uninsured]]/UninsLT18to64[[#This Row],[Total]])</f>
        <v>83.950377021490624</v>
      </c>
      <c r="I201" s="96">
        <v>87</v>
      </c>
      <c r="J201" s="63">
        <v>304</v>
      </c>
      <c r="K201" s="93">
        <f>UninsLT18to64[[#This Row],[Alternate Adj. Total]]*(UninsLT18to64[[#This Row],[200 to 399% of FPL - Uninsured]]/UninsLT18to64[[#This Row],[Total]])</f>
        <v>212.67428845444294</v>
      </c>
      <c r="L201" s="96">
        <v>150</v>
      </c>
      <c r="M201" s="63">
        <v>422</v>
      </c>
      <c r="N201" s="93">
        <f>UninsLT18to64[[#This Row],[Alternate Adj. Total]]*(UninsLT18to64[[#This Row],[400% FPL and over - Uninsured]]/UninsLT18to64[[#This Row],[Total]])</f>
        <v>295.22549252557536</v>
      </c>
      <c r="O201" s="96">
        <v>172</v>
      </c>
      <c r="P201" s="64">
        <f>SUM(UninsLT18to64[[#This Row],[Below 138% of FPL - Uninsured]]+UninsLT18to64[[#This Row],[138 to 199% of FPL - Uninsured]]+UninsLT18to64[[#This Row],[200 to 399% of FPL - Uninsured]]+UninsLT18to64[[#This Row],[400% FPL and over - Uninsured]])</f>
        <v>1034</v>
      </c>
      <c r="Q201" s="83">
        <v>7.0424382911394662E-2</v>
      </c>
      <c r="R20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679.2</v>
      </c>
      <c r="S201" s="70">
        <f>IF(UninsLT18to64[[#This Row],[Total]]&lt;1000,UninsLT18to64[[#This Row],[Total]],MAX(VLOOKUP(UninsLT18to64[[#This Row],[ZIP Code]],IRSzipToCntyTbl[#All],3,0),(UninsLT18to64[[#This Row],[Total]]-(109811*(VLOOKUP(UninsLT18to64[[#This Row],[ZIP Code]],CitizenshipTbl[#All],4,0))))*0.8))</f>
        <v>723.37241533517761</v>
      </c>
      <c r="V201" s="71"/>
    </row>
    <row r="202" spans="1:22" x14ac:dyDescent="0.3">
      <c r="A202" s="62">
        <v>21774</v>
      </c>
      <c r="B202" s="63" t="str">
        <f>VLOOKUP(A202,ZipToCntyTbl[#All],2,0)</f>
        <v>New Market</v>
      </c>
      <c r="C202" s="63" t="str">
        <f>VLOOKUP(A202,ZipToCntyTbl[#All],3,0)</f>
        <v>Frederick</v>
      </c>
      <c r="D202" s="63">
        <v>66</v>
      </c>
      <c r="E202" s="93">
        <f>UninsLT18to64[[#This Row],[Alternate Adj. Total]]*(UninsLT18to64[[#This Row],[Below 138% of FPL - Uninsured]]/UninsLT18to64[[#This Row],[Total]])</f>
        <v>66</v>
      </c>
      <c r="F202" s="96">
        <v>97</v>
      </c>
      <c r="G202" s="63">
        <v>39</v>
      </c>
      <c r="H202" s="93">
        <f>UninsLT18to64[[#This Row],[Alternate Adj. Total]]*(UninsLT18to64[[#This Row],[138 to 199% of FPL - Uninsured]]/UninsLT18to64[[#This Row],[Total]])</f>
        <v>39</v>
      </c>
      <c r="I202" s="96">
        <v>55</v>
      </c>
      <c r="J202" s="63">
        <v>131</v>
      </c>
      <c r="K202" s="93">
        <f>UninsLT18to64[[#This Row],[Alternate Adj. Total]]*(UninsLT18to64[[#This Row],[200 to 399% of FPL - Uninsured]]/UninsLT18to64[[#This Row],[Total]])</f>
        <v>131</v>
      </c>
      <c r="L202" s="96">
        <v>101</v>
      </c>
      <c r="M202" s="63">
        <v>49</v>
      </c>
      <c r="N202" s="93">
        <f>UninsLT18to64[[#This Row],[Alternate Adj. Total]]*(UninsLT18to64[[#This Row],[400% FPL and over - Uninsured]]/UninsLT18to64[[#This Row],[Total]])</f>
        <v>49</v>
      </c>
      <c r="O202" s="96">
        <v>50</v>
      </c>
      <c r="P202" s="64">
        <f>SUM(UninsLT18to64[[#This Row],[Below 138% of FPL - Uninsured]]+UninsLT18to64[[#This Row],[138 to 199% of FPL - Uninsured]]+UninsLT18to64[[#This Row],[200 to 399% of FPL - Uninsured]]+UninsLT18to64[[#This Row],[400% FPL and over - Uninsured]])</f>
        <v>285</v>
      </c>
      <c r="Q202" s="83">
        <v>0.25550460326449853</v>
      </c>
      <c r="R20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285</v>
      </c>
      <c r="S202" s="70">
        <f>IF(UninsLT18to64[[#This Row],[Total]]&lt;1000,UninsLT18to64[[#This Row],[Total]],MAX(VLOOKUP(UninsLT18to64[[#This Row],[ZIP Code]],IRSzipToCntyTbl[#All],3,0),(UninsLT18to64[[#This Row],[Total]]-(109811*(VLOOKUP(UninsLT18to64[[#This Row],[ZIP Code]],CitizenshipTbl[#All],4,0))))*0.8))</f>
        <v>285</v>
      </c>
      <c r="V202" s="71"/>
    </row>
    <row r="203" spans="1:22" x14ac:dyDescent="0.3">
      <c r="A203" s="62">
        <v>21783</v>
      </c>
      <c r="B203" s="63" t="str">
        <f>VLOOKUP(A203,ZipToCntyTbl[#All],2,0)</f>
        <v>Smithsburg</v>
      </c>
      <c r="C203" s="63" t="str">
        <f>VLOOKUP(A203,ZipToCntyTbl[#All],3,0)</f>
        <v>Washington</v>
      </c>
      <c r="D203" s="63">
        <v>63</v>
      </c>
      <c r="E203" s="93">
        <f>UninsLT18to64[[#This Row],[Alternate Adj. Total]]*(UninsLT18to64[[#This Row],[Below 138% of FPL - Uninsured]]/UninsLT18to64[[#This Row],[Total]])</f>
        <v>63</v>
      </c>
      <c r="F203" s="96">
        <v>101</v>
      </c>
      <c r="G203" s="63">
        <v>115</v>
      </c>
      <c r="H203" s="93">
        <f>UninsLT18to64[[#This Row],[Alternate Adj. Total]]*(UninsLT18to64[[#This Row],[138 to 199% of FPL - Uninsured]]/UninsLT18to64[[#This Row],[Total]])</f>
        <v>115.00000000000001</v>
      </c>
      <c r="I203" s="96">
        <v>130</v>
      </c>
      <c r="J203" s="63">
        <v>145</v>
      </c>
      <c r="K203" s="93">
        <f>UninsLT18to64[[#This Row],[Alternate Adj. Total]]*(UninsLT18to64[[#This Row],[200 to 399% of FPL - Uninsured]]/UninsLT18to64[[#This Row],[Total]])</f>
        <v>145</v>
      </c>
      <c r="L203" s="96">
        <v>105</v>
      </c>
      <c r="M203" s="63">
        <v>246</v>
      </c>
      <c r="N203" s="93">
        <f>UninsLT18to64[[#This Row],[Alternate Adj. Total]]*(UninsLT18to64[[#This Row],[400% FPL and over - Uninsured]]/UninsLT18to64[[#This Row],[Total]])</f>
        <v>246</v>
      </c>
      <c r="O203" s="96">
        <v>235</v>
      </c>
      <c r="P203" s="64">
        <f>SUM(UninsLT18to64[[#This Row],[Below 138% of FPL - Uninsured]]+UninsLT18to64[[#This Row],[138 to 199% of FPL - Uninsured]]+UninsLT18to64[[#This Row],[200 to 399% of FPL - Uninsured]]+UninsLT18to64[[#This Row],[400% FPL and over - Uninsured]])</f>
        <v>569</v>
      </c>
      <c r="Q203" s="83">
        <v>0.12797682237325497</v>
      </c>
      <c r="R20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569</v>
      </c>
      <c r="S203" s="70">
        <f>IF(UninsLT18to64[[#This Row],[Total]]&lt;1000,UninsLT18to64[[#This Row],[Total]],MAX(VLOOKUP(UninsLT18to64[[#This Row],[ZIP Code]],IRSzipToCntyTbl[#All],3,0),(UninsLT18to64[[#This Row],[Total]]-(109811*(VLOOKUP(UninsLT18to64[[#This Row],[ZIP Code]],CitizenshipTbl[#All],4,0))))*0.8))</f>
        <v>569</v>
      </c>
      <c r="V203" s="71"/>
    </row>
    <row r="204" spans="1:22" x14ac:dyDescent="0.3">
      <c r="A204" s="62">
        <v>21784</v>
      </c>
      <c r="B204" s="63" t="str">
        <f>VLOOKUP(A204,ZipToCntyTbl[#All],2,0)</f>
        <v>Sykesville</v>
      </c>
      <c r="C204" s="63" t="str">
        <f>VLOOKUP(A204,ZipToCntyTbl[#All],3,0)</f>
        <v>Carroll</v>
      </c>
      <c r="D204" s="63">
        <v>105</v>
      </c>
      <c r="E204" s="93">
        <f>UninsLT18to64[[#This Row],[Alternate Adj. Total]]*(UninsLT18to64[[#This Row],[Below 138% of FPL - Uninsured]]/UninsLT18to64[[#This Row],[Total]])</f>
        <v>105</v>
      </c>
      <c r="F204" s="96">
        <v>125</v>
      </c>
      <c r="G204" s="63">
        <v>69</v>
      </c>
      <c r="H204" s="93">
        <f>UninsLT18to64[[#This Row],[Alternate Adj. Total]]*(UninsLT18to64[[#This Row],[138 to 199% of FPL - Uninsured]]/UninsLT18to64[[#This Row],[Total]])</f>
        <v>69</v>
      </c>
      <c r="I204" s="96">
        <v>76</v>
      </c>
      <c r="J204" s="63">
        <v>284</v>
      </c>
      <c r="K204" s="93">
        <f>UninsLT18to64[[#This Row],[Alternate Adj. Total]]*(UninsLT18to64[[#This Row],[200 to 399% of FPL - Uninsured]]/UninsLT18to64[[#This Row],[Total]])</f>
        <v>284</v>
      </c>
      <c r="L204" s="96">
        <v>128</v>
      </c>
      <c r="M204" s="63">
        <v>400</v>
      </c>
      <c r="N204" s="93">
        <f>UninsLT18to64[[#This Row],[Alternate Adj. Total]]*(UninsLT18to64[[#This Row],[400% FPL and over - Uninsured]]/UninsLT18to64[[#This Row],[Total]])</f>
        <v>400</v>
      </c>
      <c r="O204" s="96">
        <v>164</v>
      </c>
      <c r="P204" s="64">
        <f>SUM(UninsLT18to64[[#This Row],[Below 138% of FPL - Uninsured]]+UninsLT18to64[[#This Row],[138 to 199% of FPL - Uninsured]]+UninsLT18to64[[#This Row],[200 to 399% of FPL - Uninsured]]+UninsLT18to64[[#This Row],[400% FPL and over - Uninsured]])</f>
        <v>858</v>
      </c>
      <c r="Q204" s="83">
        <v>8.4870410175270486E-2</v>
      </c>
      <c r="R20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858</v>
      </c>
      <c r="S204" s="70">
        <f>IF(UninsLT18to64[[#This Row],[Total]]&lt;1000,UninsLT18to64[[#This Row],[Total]],MAX(VLOOKUP(UninsLT18to64[[#This Row],[ZIP Code]],IRSzipToCntyTbl[#All],3,0),(UninsLT18to64[[#This Row],[Total]]-(109811*(VLOOKUP(UninsLT18to64[[#This Row],[ZIP Code]],CitizenshipTbl[#All],4,0))))*0.8))</f>
        <v>858</v>
      </c>
      <c r="V204" s="71"/>
    </row>
    <row r="205" spans="1:22" x14ac:dyDescent="0.3">
      <c r="A205" s="62">
        <v>21787</v>
      </c>
      <c r="B205" s="63" t="str">
        <f>VLOOKUP(A205,ZipToCntyTbl[#All],2,0)</f>
        <v>Taneytown</v>
      </c>
      <c r="C205" s="63" t="str">
        <f>VLOOKUP(A205,ZipToCntyTbl[#All],3,0)</f>
        <v>Carroll</v>
      </c>
      <c r="D205" s="63">
        <v>78</v>
      </c>
      <c r="E205" s="93">
        <f>UninsLT18to64[[#This Row],[Alternate Adj. Total]]*(UninsLT18to64[[#This Row],[Below 138% of FPL - Uninsured]]/UninsLT18to64[[#This Row],[Total]])</f>
        <v>78</v>
      </c>
      <c r="F205" s="96">
        <v>136</v>
      </c>
      <c r="G205" s="63">
        <v>182</v>
      </c>
      <c r="H205" s="93">
        <f>UninsLT18to64[[#This Row],[Alternate Adj. Total]]*(UninsLT18to64[[#This Row],[138 to 199% of FPL - Uninsured]]/UninsLT18to64[[#This Row],[Total]])</f>
        <v>182.00000000000003</v>
      </c>
      <c r="I205" s="96">
        <v>245</v>
      </c>
      <c r="J205" s="63">
        <v>176</v>
      </c>
      <c r="K205" s="93">
        <f>UninsLT18to64[[#This Row],[Alternate Adj. Total]]*(UninsLT18to64[[#This Row],[200 to 399% of FPL - Uninsured]]/UninsLT18to64[[#This Row],[Total]])</f>
        <v>176</v>
      </c>
      <c r="L205" s="96">
        <v>120</v>
      </c>
      <c r="M205" s="63">
        <v>245</v>
      </c>
      <c r="N205" s="93">
        <f>UninsLT18to64[[#This Row],[Alternate Adj. Total]]*(UninsLT18to64[[#This Row],[400% FPL and over - Uninsured]]/UninsLT18to64[[#This Row],[Total]])</f>
        <v>245</v>
      </c>
      <c r="O205" s="96">
        <v>164</v>
      </c>
      <c r="P205" s="64">
        <f>SUM(UninsLT18to64[[#This Row],[Below 138% of FPL - Uninsured]]+UninsLT18to64[[#This Row],[138 to 199% of FPL - Uninsured]]+UninsLT18to64[[#This Row],[200 to 399% of FPL - Uninsured]]+UninsLT18to64[[#This Row],[400% FPL and over - Uninsured]])</f>
        <v>681</v>
      </c>
      <c r="Q205" s="83">
        <v>0.10692923925166238</v>
      </c>
      <c r="R20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681</v>
      </c>
      <c r="S205" s="70">
        <f>IF(UninsLT18to64[[#This Row],[Total]]&lt;1000,UninsLT18to64[[#This Row],[Total]],MAX(VLOOKUP(UninsLT18to64[[#This Row],[ZIP Code]],IRSzipToCntyTbl[#All],3,0),(UninsLT18to64[[#This Row],[Total]]-(109811*(VLOOKUP(UninsLT18to64[[#This Row],[ZIP Code]],CitizenshipTbl[#All],4,0))))*0.8))</f>
        <v>681</v>
      </c>
      <c r="V205" s="71"/>
    </row>
    <row r="206" spans="1:22" x14ac:dyDescent="0.3">
      <c r="A206" s="62">
        <v>21788</v>
      </c>
      <c r="B206" s="63" t="str">
        <f>VLOOKUP(A206,ZipToCntyTbl[#All],2,0)</f>
        <v>Thurmont</v>
      </c>
      <c r="C206" s="63" t="str">
        <f>VLOOKUP(A206,ZipToCntyTbl[#All],3,0)</f>
        <v>Frederick</v>
      </c>
      <c r="D206" s="63">
        <v>215</v>
      </c>
      <c r="E206" s="93">
        <f>UninsLT18to64[[#This Row],[Alternate Adj. Total]]*(UninsLT18to64[[#This Row],[Below 138% of FPL - Uninsured]]/UninsLT18to64[[#This Row],[Total]])</f>
        <v>215</v>
      </c>
      <c r="F206" s="96">
        <v>241</v>
      </c>
      <c r="G206" s="63">
        <v>223</v>
      </c>
      <c r="H206" s="93">
        <f>UninsLT18to64[[#This Row],[Alternate Adj. Total]]*(UninsLT18to64[[#This Row],[138 to 199% of FPL - Uninsured]]/UninsLT18to64[[#This Row],[Total]])</f>
        <v>223</v>
      </c>
      <c r="I206" s="96">
        <v>190</v>
      </c>
      <c r="J206" s="63">
        <v>164</v>
      </c>
      <c r="K206" s="93">
        <f>UninsLT18to64[[#This Row],[Alternate Adj. Total]]*(UninsLT18to64[[#This Row],[200 to 399% of FPL - Uninsured]]/UninsLT18to64[[#This Row],[Total]])</f>
        <v>164</v>
      </c>
      <c r="L206" s="96">
        <v>99</v>
      </c>
      <c r="M206" s="63">
        <v>197</v>
      </c>
      <c r="N206" s="93">
        <f>UninsLT18to64[[#This Row],[Alternate Adj. Total]]*(UninsLT18to64[[#This Row],[400% FPL and over - Uninsured]]/UninsLT18to64[[#This Row],[Total]])</f>
        <v>197</v>
      </c>
      <c r="O206" s="96">
        <v>101</v>
      </c>
      <c r="P206" s="64">
        <f>SUM(UninsLT18to64[[#This Row],[Below 138% of FPL - Uninsured]]+UninsLT18to64[[#This Row],[138 to 199% of FPL - Uninsured]]+UninsLT18to64[[#This Row],[200 to 399% of FPL - Uninsured]]+UninsLT18to64[[#This Row],[400% FPL and over - Uninsured]])</f>
        <v>799</v>
      </c>
      <c r="Q206" s="83">
        <v>9.1137436708863678E-2</v>
      </c>
      <c r="R20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799</v>
      </c>
      <c r="S206" s="70">
        <f>IF(UninsLT18to64[[#This Row],[Total]]&lt;1000,UninsLT18to64[[#This Row],[Total]],MAX(VLOOKUP(UninsLT18to64[[#This Row],[ZIP Code]],IRSzipToCntyTbl[#All],3,0),(UninsLT18to64[[#This Row],[Total]]-(109811*(VLOOKUP(UninsLT18to64[[#This Row],[ZIP Code]],CitizenshipTbl[#All],4,0))))*0.8))</f>
        <v>799</v>
      </c>
      <c r="V206" s="71"/>
    </row>
    <row r="207" spans="1:22" x14ac:dyDescent="0.3">
      <c r="A207" s="62">
        <v>21791</v>
      </c>
      <c r="B207" s="63" t="str">
        <f>VLOOKUP(A207,ZipToCntyTbl[#All],2,0)</f>
        <v>Union Bridge</v>
      </c>
      <c r="C207" s="63" t="str">
        <f>VLOOKUP(A207,ZipToCntyTbl[#All],3,0)</f>
        <v>Carroll</v>
      </c>
      <c r="D207" s="63">
        <v>97</v>
      </c>
      <c r="E207" s="93">
        <f>UninsLT18to64[[#This Row],[Alternate Adj. Total]]*(UninsLT18to64[[#This Row],[Below 138% of FPL - Uninsured]]/UninsLT18to64[[#This Row],[Total]])</f>
        <v>97</v>
      </c>
      <c r="F207" s="96">
        <v>106</v>
      </c>
      <c r="G207" s="63">
        <v>63</v>
      </c>
      <c r="H207" s="93">
        <f>UninsLT18to64[[#This Row],[Alternate Adj. Total]]*(UninsLT18to64[[#This Row],[138 to 199% of FPL - Uninsured]]/UninsLT18to64[[#This Row],[Total]])</f>
        <v>63</v>
      </c>
      <c r="I207" s="96">
        <v>79</v>
      </c>
      <c r="J207" s="63">
        <v>58</v>
      </c>
      <c r="K207" s="93">
        <f>UninsLT18to64[[#This Row],[Alternate Adj. Total]]*(UninsLT18to64[[#This Row],[200 to 399% of FPL - Uninsured]]/UninsLT18to64[[#This Row],[Total]])</f>
        <v>58</v>
      </c>
      <c r="L207" s="96">
        <v>59</v>
      </c>
      <c r="M207" s="63">
        <v>35</v>
      </c>
      <c r="N207" s="93">
        <f>UninsLT18to64[[#This Row],[Alternate Adj. Total]]*(UninsLT18to64[[#This Row],[400% FPL and over - Uninsured]]/UninsLT18to64[[#This Row],[Total]])</f>
        <v>35</v>
      </c>
      <c r="O207" s="96">
        <v>49</v>
      </c>
      <c r="P207" s="64">
        <f>SUM(UninsLT18to64[[#This Row],[Below 138% of FPL - Uninsured]]+UninsLT18to64[[#This Row],[138 to 199% of FPL - Uninsured]]+UninsLT18to64[[#This Row],[200 to 399% of FPL - Uninsured]]+UninsLT18to64[[#This Row],[400% FPL and over - Uninsured]])</f>
        <v>253</v>
      </c>
      <c r="Q207" s="83">
        <v>0.2878213910291782</v>
      </c>
      <c r="R20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253</v>
      </c>
      <c r="S207" s="70">
        <f>IF(UninsLT18to64[[#This Row],[Total]]&lt;1000,UninsLT18to64[[#This Row],[Total]],MAX(VLOOKUP(UninsLT18to64[[#This Row],[ZIP Code]],IRSzipToCntyTbl[#All],3,0),(UninsLT18to64[[#This Row],[Total]]-(109811*(VLOOKUP(UninsLT18to64[[#This Row],[ZIP Code]],CitizenshipTbl[#All],4,0))))*0.8))</f>
        <v>253</v>
      </c>
      <c r="V207" s="71"/>
    </row>
    <row r="208" spans="1:22" x14ac:dyDescent="0.3">
      <c r="A208" s="62">
        <v>21793</v>
      </c>
      <c r="B208" s="63" t="str">
        <f>VLOOKUP(A208,ZipToCntyTbl[#All],2,0)</f>
        <v>Walkersville</v>
      </c>
      <c r="C208" s="63" t="str">
        <f>VLOOKUP(A208,ZipToCntyTbl[#All],3,0)</f>
        <v>Frederick</v>
      </c>
      <c r="D208" s="63">
        <v>297</v>
      </c>
      <c r="E208" s="93">
        <f>UninsLT18to64[[#This Row],[Alternate Adj. Total]]*(UninsLT18to64[[#This Row],[Below 138% of FPL - Uninsured]]/UninsLT18to64[[#This Row],[Total]])</f>
        <v>297</v>
      </c>
      <c r="F208" s="96">
        <v>351</v>
      </c>
      <c r="G208" s="63">
        <v>0</v>
      </c>
      <c r="H208" s="93">
        <f>UninsLT18to64[[#This Row],[Alternate Adj. Total]]*(UninsLT18to64[[#This Row],[138 to 199% of FPL - Uninsured]]/UninsLT18to64[[#This Row],[Total]])</f>
        <v>0</v>
      </c>
      <c r="I208" s="96">
        <v>38</v>
      </c>
      <c r="J208" s="63">
        <v>108</v>
      </c>
      <c r="K208" s="93">
        <f>UninsLT18to64[[#This Row],[Alternate Adj. Total]]*(UninsLT18to64[[#This Row],[200 to 399% of FPL - Uninsured]]/UninsLT18to64[[#This Row],[Total]])</f>
        <v>108</v>
      </c>
      <c r="L208" s="96">
        <v>116</v>
      </c>
      <c r="M208" s="63">
        <v>166</v>
      </c>
      <c r="N208" s="93">
        <f>UninsLT18to64[[#This Row],[Alternate Adj. Total]]*(UninsLT18to64[[#This Row],[400% FPL and over - Uninsured]]/UninsLT18to64[[#This Row],[Total]])</f>
        <v>166</v>
      </c>
      <c r="O208" s="96">
        <v>120</v>
      </c>
      <c r="P208" s="64">
        <f>SUM(UninsLT18to64[[#This Row],[Below 138% of FPL - Uninsured]]+UninsLT18to64[[#This Row],[138 to 199% of FPL - Uninsured]]+UninsLT18to64[[#This Row],[200 to 399% of FPL - Uninsured]]+UninsLT18to64[[#This Row],[400% FPL and over - Uninsured]])</f>
        <v>571</v>
      </c>
      <c r="Q208" s="83">
        <v>0.12752856730364637</v>
      </c>
      <c r="R20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571</v>
      </c>
      <c r="S208" s="70">
        <f>IF(UninsLT18to64[[#This Row],[Total]]&lt;1000,UninsLT18to64[[#This Row],[Total]],MAX(VLOOKUP(UninsLT18to64[[#This Row],[ZIP Code]],IRSzipToCntyTbl[#All],3,0),(UninsLT18to64[[#This Row],[Total]]-(109811*(VLOOKUP(UninsLT18to64[[#This Row],[ZIP Code]],CitizenshipTbl[#All],4,0))))*0.8))</f>
        <v>571</v>
      </c>
      <c r="V208" s="71"/>
    </row>
    <row r="209" spans="1:22" x14ac:dyDescent="0.3">
      <c r="A209" s="62">
        <v>21795</v>
      </c>
      <c r="B209" s="63" t="str">
        <f>VLOOKUP(A209,ZipToCntyTbl[#All],2,0)</f>
        <v>Williamsport</v>
      </c>
      <c r="C209" s="63" t="str">
        <f>VLOOKUP(A209,ZipToCntyTbl[#All],3,0)</f>
        <v>Washington</v>
      </c>
      <c r="D209" s="63">
        <v>150</v>
      </c>
      <c r="E209" s="93">
        <f>UninsLT18to64[[#This Row],[Alternate Adj. Total]]*(UninsLT18to64[[#This Row],[Below 138% of FPL - Uninsured]]/UninsLT18to64[[#This Row],[Total]])</f>
        <v>150</v>
      </c>
      <c r="F209" s="96">
        <v>169</v>
      </c>
      <c r="G209" s="63">
        <v>52</v>
      </c>
      <c r="H209" s="93">
        <f>UninsLT18to64[[#This Row],[Alternate Adj. Total]]*(UninsLT18to64[[#This Row],[138 to 199% of FPL - Uninsured]]/UninsLT18to64[[#This Row],[Total]])</f>
        <v>52</v>
      </c>
      <c r="I209" s="96">
        <v>69</v>
      </c>
      <c r="J209" s="63">
        <v>167</v>
      </c>
      <c r="K209" s="93">
        <f>UninsLT18to64[[#This Row],[Alternate Adj. Total]]*(UninsLT18to64[[#This Row],[200 to 399% of FPL - Uninsured]]/UninsLT18to64[[#This Row],[Total]])</f>
        <v>167</v>
      </c>
      <c r="L209" s="96">
        <v>138</v>
      </c>
      <c r="M209" s="63">
        <v>94</v>
      </c>
      <c r="N209" s="93">
        <f>UninsLT18to64[[#This Row],[Alternate Adj. Total]]*(UninsLT18to64[[#This Row],[400% FPL and over - Uninsured]]/UninsLT18to64[[#This Row],[Total]])</f>
        <v>94</v>
      </c>
      <c r="O209" s="96">
        <v>64</v>
      </c>
      <c r="P209" s="64">
        <f>SUM(UninsLT18to64[[#This Row],[Below 138% of FPL - Uninsured]]+UninsLT18to64[[#This Row],[138 to 199% of FPL - Uninsured]]+UninsLT18to64[[#This Row],[200 to 399% of FPL - Uninsured]]+UninsLT18to64[[#This Row],[400% FPL and over - Uninsured]])</f>
        <v>463</v>
      </c>
      <c r="Q209" s="83">
        <v>0.15727605168549047</v>
      </c>
      <c r="R20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463</v>
      </c>
      <c r="S209" s="70">
        <f>IF(UninsLT18to64[[#This Row],[Total]]&lt;1000,UninsLT18to64[[#This Row],[Total]],MAX(VLOOKUP(UninsLT18to64[[#This Row],[ZIP Code]],IRSzipToCntyTbl[#All],3,0),(UninsLT18to64[[#This Row],[Total]]-(109811*(VLOOKUP(UninsLT18to64[[#This Row],[ZIP Code]],CitizenshipTbl[#All],4,0))))*0.8))</f>
        <v>463</v>
      </c>
      <c r="V209" s="71"/>
    </row>
    <row r="210" spans="1:22" x14ac:dyDescent="0.3">
      <c r="A210" s="62">
        <v>21797</v>
      </c>
      <c r="B210" s="63" t="str">
        <f>VLOOKUP(A210,ZipToCntyTbl[#All],2,0)</f>
        <v>Woodbine</v>
      </c>
      <c r="C210" s="63" t="str">
        <f>VLOOKUP(A210,ZipToCntyTbl[#All],3,0)</f>
        <v>Howard</v>
      </c>
      <c r="D210" s="63">
        <v>12</v>
      </c>
      <c r="E210" s="93">
        <f>UninsLT18to64[[#This Row],[Alternate Adj. Total]]*(UninsLT18to64[[#This Row],[Below 138% of FPL - Uninsured]]/UninsLT18to64[[#This Row],[Total]])</f>
        <v>12.000000000000002</v>
      </c>
      <c r="F210" s="96">
        <v>67</v>
      </c>
      <c r="G210" s="63">
        <v>57</v>
      </c>
      <c r="H210" s="93">
        <f>UninsLT18to64[[#This Row],[Alternate Adj. Total]]*(UninsLT18to64[[#This Row],[138 to 199% of FPL - Uninsured]]/UninsLT18to64[[#This Row],[Total]])</f>
        <v>57</v>
      </c>
      <c r="I210" s="96">
        <v>72</v>
      </c>
      <c r="J210" s="63">
        <v>58</v>
      </c>
      <c r="K210" s="93">
        <f>UninsLT18to64[[#This Row],[Alternate Adj. Total]]*(UninsLT18to64[[#This Row],[200 to 399% of FPL - Uninsured]]/UninsLT18to64[[#This Row],[Total]])</f>
        <v>58</v>
      </c>
      <c r="L210" s="96">
        <v>68</v>
      </c>
      <c r="M210" s="63">
        <v>184</v>
      </c>
      <c r="N210" s="93">
        <f>UninsLT18to64[[#This Row],[Alternate Adj. Total]]*(UninsLT18to64[[#This Row],[400% FPL and over - Uninsured]]/UninsLT18to64[[#This Row],[Total]])</f>
        <v>184</v>
      </c>
      <c r="O210" s="96">
        <v>106</v>
      </c>
      <c r="P210" s="64">
        <f>SUM(UninsLT18to64[[#This Row],[Below 138% of FPL - Uninsured]]+UninsLT18to64[[#This Row],[138 to 199% of FPL - Uninsured]]+UninsLT18to64[[#This Row],[200 to 399% of FPL - Uninsured]]+UninsLT18to64[[#This Row],[400% FPL and over - Uninsured]])</f>
        <v>311</v>
      </c>
      <c r="Q210" s="83">
        <v>0.23414408980830251</v>
      </c>
      <c r="R21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311</v>
      </c>
      <c r="S210" s="70">
        <f>IF(UninsLT18to64[[#This Row],[Total]]&lt;1000,UninsLT18to64[[#This Row],[Total]],MAX(VLOOKUP(UninsLT18to64[[#This Row],[ZIP Code]],IRSzipToCntyTbl[#All],3,0),(UninsLT18to64[[#This Row],[Total]]-(109811*(VLOOKUP(UninsLT18to64[[#This Row],[ZIP Code]],CitizenshipTbl[#All],4,0))))*0.8))</f>
        <v>311</v>
      </c>
      <c r="V210" s="71"/>
    </row>
    <row r="211" spans="1:22" x14ac:dyDescent="0.3">
      <c r="A211" s="62">
        <v>21801</v>
      </c>
      <c r="B211" s="63" t="str">
        <f>VLOOKUP(A211,ZipToCntyTbl[#All],2,0)</f>
        <v>Salisbury</v>
      </c>
      <c r="C211" s="63" t="str">
        <f>VLOOKUP(A211,ZipToCntyTbl[#All],3,0)</f>
        <v>Wicomico</v>
      </c>
      <c r="D211" s="63">
        <v>593</v>
      </c>
      <c r="E211" s="93">
        <f>UninsLT18to64[[#This Row],[Alternate Adj. Total]]*(UninsLT18to64[[#This Row],[Below 138% of FPL - Uninsured]]/UninsLT18to64[[#This Row],[Total]])</f>
        <v>365.84969732899845</v>
      </c>
      <c r="F211" s="96">
        <v>363</v>
      </c>
      <c r="G211" s="63">
        <v>395</v>
      </c>
      <c r="H211" s="93">
        <f>UninsLT18to64[[#This Row],[Alternate Adj. Total]]*(UninsLT18to64[[#This Row],[138 to 199% of FPL - Uninsured]]/UninsLT18to64[[#This Row],[Total]])</f>
        <v>243.69414914832106</v>
      </c>
      <c r="I211" s="96">
        <v>230</v>
      </c>
      <c r="J211" s="63">
        <v>953</v>
      </c>
      <c r="K211" s="93">
        <f>UninsLT18to64[[#This Row],[Alternate Adj. Total]]*(UninsLT18to64[[#This Row],[200 to 399% of FPL - Uninsured]]/UninsLT18to64[[#This Row],[Total]])</f>
        <v>587.95069402113916</v>
      </c>
      <c r="L211" s="96">
        <v>409</v>
      </c>
      <c r="M211" s="63">
        <v>616</v>
      </c>
      <c r="N211" s="93">
        <f>UninsLT18to64[[#This Row],[Alternate Adj. Total]]*(UninsLT18to64[[#This Row],[400% FPL and over - Uninsured]]/UninsLT18to64[[#This Row],[Total]])</f>
        <v>380.03948322877409</v>
      </c>
      <c r="O211" s="96">
        <v>373</v>
      </c>
      <c r="P211" s="64">
        <f>SUM(UninsLT18to64[[#This Row],[Below 138% of FPL - Uninsured]]+UninsLT18to64[[#This Row],[138 to 199% of FPL - Uninsured]]+UninsLT18to64[[#This Row],[200 to 399% of FPL - Uninsured]]+UninsLT18to64[[#This Row],[400% FPL and over - Uninsured]])</f>
        <v>2557</v>
      </c>
      <c r="Q211" s="83">
        <v>2.8478221325921815E-2</v>
      </c>
      <c r="R21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1378.4</v>
      </c>
      <c r="S211" s="70">
        <f>IF(UninsLT18to64[[#This Row],[Total]]&lt;1000,UninsLT18to64[[#This Row],[Total]],MAX(VLOOKUP(UninsLT18to64[[#This Row],[ZIP Code]],IRSzipToCntyTbl[#All],3,0),(UninsLT18to64[[#This Row],[Total]]-(109811*(VLOOKUP(UninsLT18to64[[#This Row],[ZIP Code]],CitizenshipTbl[#All],4,0))))*0.8))</f>
        <v>1577.5340237272328</v>
      </c>
      <c r="V211" s="71"/>
    </row>
    <row r="212" spans="1:22" x14ac:dyDescent="0.3">
      <c r="A212" s="62">
        <v>21804</v>
      </c>
      <c r="B212" s="63" t="str">
        <f>VLOOKUP(A212,ZipToCntyTbl[#All],2,0)</f>
        <v>Salisbury</v>
      </c>
      <c r="C212" s="63" t="str">
        <f>VLOOKUP(A212,ZipToCntyTbl[#All],3,0)</f>
        <v>Wicomico</v>
      </c>
      <c r="D212" s="63">
        <v>1145</v>
      </c>
      <c r="E212" s="93">
        <f>UninsLT18to64[[#This Row],[Alternate Adj. Total]]*(UninsLT18to64[[#This Row],[Below 138% of FPL - Uninsured]]/UninsLT18to64[[#This Row],[Total]])</f>
        <v>710.20385060028661</v>
      </c>
      <c r="F212" s="96">
        <v>569</v>
      </c>
      <c r="G212" s="63">
        <v>474</v>
      </c>
      <c r="H212" s="93">
        <f>UninsLT18to64[[#This Row],[Alternate Adj. Total]]*(UninsLT18to64[[#This Row],[138 to 199% of FPL - Uninsured]]/UninsLT18to64[[#This Row],[Total]])</f>
        <v>294.00578618736751</v>
      </c>
      <c r="I212" s="96">
        <v>219</v>
      </c>
      <c r="J212" s="63">
        <v>1088</v>
      </c>
      <c r="K212" s="93">
        <f>UninsLT18to64[[#This Row],[Alternate Adj. Total]]*(UninsLT18to64[[#This Row],[200 to 399% of FPL - Uninsured]]/UninsLT18to64[[#This Row],[Total]])</f>
        <v>674.84872441319794</v>
      </c>
      <c r="L212" s="96">
        <v>429</v>
      </c>
      <c r="M212" s="63">
        <v>478</v>
      </c>
      <c r="N212" s="93">
        <f>UninsLT18to64[[#This Row],[Alternate Adj. Total]]*(UninsLT18to64[[#This Row],[400% FPL and over - Uninsured]]/UninsLT18to64[[#This Row],[Total]])</f>
        <v>296.48684767418075</v>
      </c>
      <c r="O212" s="96">
        <v>262</v>
      </c>
      <c r="P212" s="64">
        <f>SUM(UninsLT18to64[[#This Row],[Below 138% of FPL - Uninsured]]+UninsLT18to64[[#This Row],[138 to 199% of FPL - Uninsured]]+UninsLT18to64[[#This Row],[200 to 399% of FPL - Uninsured]]+UninsLT18to64[[#This Row],[400% FPL and over - Uninsured]])</f>
        <v>3185</v>
      </c>
      <c r="Q212" s="83">
        <v>2.2863049271705519E-2</v>
      </c>
      <c r="R21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1732</v>
      </c>
      <c r="S212" s="70">
        <f>IF(UninsLT18to64[[#This Row],[Total]]&lt;1000,UninsLT18to64[[#This Row],[Total]],MAX(VLOOKUP(UninsLT18to64[[#This Row],[ZIP Code]],IRSzipToCntyTbl[#All],3,0),(UninsLT18to64[[#This Row],[Total]]-(109811*(VLOOKUP(UninsLT18to64[[#This Row],[ZIP Code]],CitizenshipTbl[#All],4,0))))*0.8))</f>
        <v>1975.5452088750328</v>
      </c>
      <c r="V212" s="71"/>
    </row>
    <row r="213" spans="1:22" x14ac:dyDescent="0.3">
      <c r="A213" s="62">
        <v>21811</v>
      </c>
      <c r="B213" s="63" t="str">
        <f>VLOOKUP(A213,ZipToCntyTbl[#All],2,0)</f>
        <v>Berlin</v>
      </c>
      <c r="C213" s="63" t="str">
        <f>VLOOKUP(A213,ZipToCntyTbl[#All],3,0)</f>
        <v>Worcester</v>
      </c>
      <c r="D213" s="63">
        <v>376</v>
      </c>
      <c r="E213" s="93">
        <f>UninsLT18to64[[#This Row],[Alternate Adj. Total]]*(UninsLT18to64[[#This Row],[Below 138% of FPL - Uninsured]]/UninsLT18to64[[#This Row],[Total]])</f>
        <v>287.96000354380971</v>
      </c>
      <c r="F213" s="96">
        <v>296</v>
      </c>
      <c r="G213" s="63">
        <v>71</v>
      </c>
      <c r="H213" s="93">
        <f>UninsLT18to64[[#This Row],[Alternate Adj. Total]]*(UninsLT18to64[[#This Row],[138 to 199% of FPL - Uninsured]]/UninsLT18to64[[#This Row],[Total]])</f>
        <v>54.375426201091727</v>
      </c>
      <c r="I213" s="96">
        <v>69</v>
      </c>
      <c r="J213" s="63">
        <v>565</v>
      </c>
      <c r="K213" s="93">
        <f>UninsLT18to64[[#This Row],[Alternate Adj. Total]]*(UninsLT18to64[[#This Row],[200 to 399% of FPL - Uninsured]]/UninsLT18to64[[#This Row],[Total]])</f>
        <v>432.70585638896938</v>
      </c>
      <c r="L213" s="96">
        <v>246</v>
      </c>
      <c r="M213" s="63">
        <v>500</v>
      </c>
      <c r="N213" s="93">
        <f>UninsLT18to64[[#This Row],[Alternate Adj. Total]]*(UninsLT18to64[[#This Row],[400% FPL and over - Uninsured]]/UninsLT18to64[[#This Row],[Total]])</f>
        <v>382.92553662740659</v>
      </c>
      <c r="O213" s="96">
        <v>231</v>
      </c>
      <c r="P213" s="64">
        <f>SUM(UninsLT18to64[[#This Row],[Below 138% of FPL - Uninsured]]+UninsLT18to64[[#This Row],[138 to 199% of FPL - Uninsured]]+UninsLT18to64[[#This Row],[200 to 399% of FPL - Uninsured]]+UninsLT18to64[[#This Row],[400% FPL and over - Uninsured]])</f>
        <v>1512</v>
      </c>
      <c r="Q213" s="83">
        <v>4.8160589901046352E-2</v>
      </c>
      <c r="R21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1136</v>
      </c>
      <c r="S213" s="70">
        <f>IF(UninsLT18to64[[#This Row],[Total]]&lt;1000,UninsLT18to64[[#This Row],[Total]],MAX(VLOOKUP(UninsLT18to64[[#This Row],[ZIP Code]],IRSzipToCntyTbl[#All],3,0),(UninsLT18to64[[#This Row],[Total]]-(109811*(VLOOKUP(UninsLT18to64[[#This Row],[ZIP Code]],CitizenshipTbl[#All],4,0))))*0.8))</f>
        <v>1157.9668227612774</v>
      </c>
      <c r="V213" s="71"/>
    </row>
    <row r="214" spans="1:22" x14ac:dyDescent="0.3">
      <c r="A214" s="62">
        <v>21817</v>
      </c>
      <c r="B214" s="63" t="str">
        <f>VLOOKUP(A214,ZipToCntyTbl[#All],2,0)</f>
        <v>Crisfield</v>
      </c>
      <c r="C214" s="63" t="str">
        <f>VLOOKUP(A214,ZipToCntyTbl[#All],3,0)</f>
        <v>Somerset</v>
      </c>
      <c r="D214" s="63">
        <v>183</v>
      </c>
      <c r="E214" s="93">
        <f>UninsLT18to64[[#This Row],[Alternate Adj. Total]]*(UninsLT18to64[[#This Row],[Below 138% of FPL - Uninsured]]/UninsLT18to64[[#This Row],[Total]])</f>
        <v>183</v>
      </c>
      <c r="F214" s="96">
        <v>121</v>
      </c>
      <c r="G214" s="63">
        <v>120</v>
      </c>
      <c r="H214" s="93">
        <f>UninsLT18to64[[#This Row],[Alternate Adj. Total]]*(UninsLT18to64[[#This Row],[138 to 199% of FPL - Uninsured]]/UninsLT18to64[[#This Row],[Total]])</f>
        <v>120.00000000000001</v>
      </c>
      <c r="I214" s="96">
        <v>115</v>
      </c>
      <c r="J214" s="63">
        <v>58</v>
      </c>
      <c r="K214" s="93">
        <f>UninsLT18to64[[#This Row],[Alternate Adj. Total]]*(UninsLT18to64[[#This Row],[200 to 399% of FPL - Uninsured]]/UninsLT18to64[[#This Row],[Total]])</f>
        <v>58</v>
      </c>
      <c r="L214" s="96">
        <v>55</v>
      </c>
      <c r="M214" s="63">
        <v>36</v>
      </c>
      <c r="N214" s="93">
        <f>UninsLT18to64[[#This Row],[Alternate Adj. Total]]*(UninsLT18to64[[#This Row],[400% FPL and over - Uninsured]]/UninsLT18to64[[#This Row],[Total]])</f>
        <v>36</v>
      </c>
      <c r="O214" s="96">
        <v>42</v>
      </c>
      <c r="P214" s="64">
        <f>SUM(UninsLT18to64[[#This Row],[Below 138% of FPL - Uninsured]]+UninsLT18to64[[#This Row],[138 to 199% of FPL - Uninsured]]+UninsLT18to64[[#This Row],[200 to 399% of FPL - Uninsured]]+UninsLT18to64[[#This Row],[400% FPL and over - Uninsured]])</f>
        <v>397</v>
      </c>
      <c r="Q214" s="83">
        <v>0.18342270007652917</v>
      </c>
      <c r="R21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397</v>
      </c>
      <c r="S214" s="70">
        <f>IF(UninsLT18to64[[#This Row],[Total]]&lt;1000,UninsLT18to64[[#This Row],[Total]],MAX(VLOOKUP(UninsLT18to64[[#This Row],[ZIP Code]],IRSzipToCntyTbl[#All],3,0),(UninsLT18to64[[#This Row],[Total]]-(109811*(VLOOKUP(UninsLT18to64[[#This Row],[ZIP Code]],CitizenshipTbl[#All],4,0))))*0.8))</f>
        <v>397</v>
      </c>
      <c r="V214" s="71"/>
    </row>
    <row r="215" spans="1:22" x14ac:dyDescent="0.3">
      <c r="A215" s="62">
        <v>21822</v>
      </c>
      <c r="B215" s="63" t="str">
        <f>VLOOKUP(A215,ZipToCntyTbl[#All],2,0)</f>
        <v>Eden</v>
      </c>
      <c r="C215" s="63" t="str">
        <f>VLOOKUP(A215,ZipToCntyTbl[#All],3,0)</f>
        <v>Worcester</v>
      </c>
      <c r="D215" s="63">
        <v>105</v>
      </c>
      <c r="E215" s="93">
        <f>UninsLT18to64[[#This Row],[Alternate Adj. Total]]*(UninsLT18to64[[#This Row],[Below 138% of FPL - Uninsured]]/UninsLT18to64[[#This Row],[Total]])</f>
        <v>105</v>
      </c>
      <c r="F215" s="96">
        <v>191</v>
      </c>
      <c r="G215" s="63">
        <v>0</v>
      </c>
      <c r="H215" s="93">
        <f>UninsLT18to64[[#This Row],[Alternate Adj. Total]]*(UninsLT18to64[[#This Row],[138 to 199% of FPL - Uninsured]]/UninsLT18to64[[#This Row],[Total]])</f>
        <v>0</v>
      </c>
      <c r="I215" s="96">
        <v>24</v>
      </c>
      <c r="J215" s="63">
        <v>178</v>
      </c>
      <c r="K215" s="93">
        <f>UninsLT18to64[[#This Row],[Alternate Adj. Total]]*(UninsLT18to64[[#This Row],[200 to 399% of FPL - Uninsured]]/UninsLT18to64[[#This Row],[Total]])</f>
        <v>178</v>
      </c>
      <c r="L215" s="96">
        <v>140</v>
      </c>
      <c r="M215" s="63">
        <v>157</v>
      </c>
      <c r="N215" s="93">
        <f>UninsLT18to64[[#This Row],[Alternate Adj. Total]]*(UninsLT18to64[[#This Row],[400% FPL and over - Uninsured]]/UninsLT18to64[[#This Row],[Total]])</f>
        <v>157</v>
      </c>
      <c r="O215" s="96">
        <v>135</v>
      </c>
      <c r="P215" s="64">
        <f>SUM(UninsLT18to64[[#This Row],[Below 138% of FPL - Uninsured]]+UninsLT18to64[[#This Row],[138 to 199% of FPL - Uninsured]]+UninsLT18to64[[#This Row],[200 to 399% of FPL - Uninsured]]+UninsLT18to64[[#This Row],[400% FPL and over - Uninsured]])</f>
        <v>440</v>
      </c>
      <c r="Q215" s="83">
        <v>0.16549729984177747</v>
      </c>
      <c r="R21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440</v>
      </c>
      <c r="S215" s="70">
        <f>IF(UninsLT18to64[[#This Row],[Total]]&lt;1000,UninsLT18to64[[#This Row],[Total]],MAX(VLOOKUP(UninsLT18to64[[#This Row],[ZIP Code]],IRSzipToCntyTbl[#All],3,0),(UninsLT18to64[[#This Row],[Total]]-(109811*(VLOOKUP(UninsLT18to64[[#This Row],[ZIP Code]],CitizenshipTbl[#All],4,0))))*0.8))</f>
        <v>440</v>
      </c>
      <c r="V215" s="71"/>
    </row>
    <row r="216" spans="1:22" x14ac:dyDescent="0.3">
      <c r="A216" s="62">
        <v>21826</v>
      </c>
      <c r="B216" s="63" t="str">
        <f>VLOOKUP(A216,ZipToCntyTbl[#All],2,0)</f>
        <v>Fruitland</v>
      </c>
      <c r="C216" s="63" t="str">
        <f>VLOOKUP(A216,ZipToCntyTbl[#All],3,0)</f>
        <v>Wicomico</v>
      </c>
      <c r="D216" s="63">
        <v>139</v>
      </c>
      <c r="E216" s="93">
        <f>UninsLT18to64[[#This Row],[Alternate Adj. Total]]*(UninsLT18to64[[#This Row],[Below 138% of FPL - Uninsured]]/UninsLT18to64[[#This Row],[Total]])</f>
        <v>139</v>
      </c>
      <c r="F216" s="96">
        <v>171</v>
      </c>
      <c r="G216" s="63">
        <v>12</v>
      </c>
      <c r="H216" s="93">
        <f>UninsLT18to64[[#This Row],[Alternate Adj. Total]]*(UninsLT18to64[[#This Row],[138 to 199% of FPL - Uninsured]]/UninsLT18to64[[#This Row],[Total]])</f>
        <v>12</v>
      </c>
      <c r="I216" s="96">
        <v>35</v>
      </c>
      <c r="J216" s="63">
        <v>327</v>
      </c>
      <c r="K216" s="93">
        <f>UninsLT18to64[[#This Row],[Alternate Adj. Total]]*(UninsLT18to64[[#This Row],[200 to 399% of FPL - Uninsured]]/UninsLT18to64[[#This Row],[Total]])</f>
        <v>327</v>
      </c>
      <c r="L216" s="96">
        <v>226</v>
      </c>
      <c r="M216" s="63">
        <v>70</v>
      </c>
      <c r="N216" s="93">
        <f>UninsLT18to64[[#This Row],[Alternate Adj. Total]]*(UninsLT18to64[[#This Row],[400% FPL and over - Uninsured]]/UninsLT18to64[[#This Row],[Total]])</f>
        <v>70</v>
      </c>
      <c r="O216" s="96">
        <v>100</v>
      </c>
      <c r="P216" s="64">
        <f>SUM(UninsLT18to64[[#This Row],[Below 138% of FPL - Uninsured]]+UninsLT18to64[[#This Row],[138 to 199% of FPL - Uninsured]]+UninsLT18to64[[#This Row],[200 to 399% of FPL - Uninsured]]+UninsLT18to64[[#This Row],[400% FPL and over - Uninsured]])</f>
        <v>548</v>
      </c>
      <c r="Q216" s="83">
        <v>0.13288104366858045</v>
      </c>
      <c r="R216"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548</v>
      </c>
      <c r="S216" s="70">
        <f>IF(UninsLT18to64[[#This Row],[Total]]&lt;1000,UninsLT18to64[[#This Row],[Total]],MAX(VLOOKUP(UninsLT18to64[[#This Row],[ZIP Code]],IRSzipToCntyTbl[#All],3,0),(UninsLT18to64[[#This Row],[Total]]-(109811*(VLOOKUP(UninsLT18to64[[#This Row],[ZIP Code]],CitizenshipTbl[#All],4,0))))*0.8))</f>
        <v>548</v>
      </c>
      <c r="V216" s="71"/>
    </row>
    <row r="217" spans="1:22" x14ac:dyDescent="0.3">
      <c r="A217" s="62">
        <v>21842</v>
      </c>
      <c r="B217" s="63" t="str">
        <f>VLOOKUP(A217,ZipToCntyTbl[#All],2,0)</f>
        <v>Ocean City</v>
      </c>
      <c r="C217" s="63" t="str">
        <f>VLOOKUP(A217,ZipToCntyTbl[#All],3,0)</f>
        <v>Worcester</v>
      </c>
      <c r="D217" s="63">
        <v>242</v>
      </c>
      <c r="E217" s="93">
        <f>UninsLT18to64[[#This Row],[Alternate Adj. Total]]*(UninsLT18to64[[#This Row],[Below 138% of FPL - Uninsured]]/UninsLT18to64[[#This Row],[Total]])</f>
        <v>242</v>
      </c>
      <c r="F217" s="96">
        <v>173</v>
      </c>
      <c r="G217" s="63">
        <v>108</v>
      </c>
      <c r="H217" s="93">
        <f>UninsLT18to64[[#This Row],[Alternate Adj. Total]]*(UninsLT18to64[[#This Row],[138 to 199% of FPL - Uninsured]]/UninsLT18to64[[#This Row],[Total]])</f>
        <v>108</v>
      </c>
      <c r="I217" s="96">
        <v>81</v>
      </c>
      <c r="J217" s="63">
        <v>215</v>
      </c>
      <c r="K217" s="93">
        <f>UninsLT18to64[[#This Row],[Alternate Adj. Total]]*(UninsLT18to64[[#This Row],[200 to 399% of FPL - Uninsured]]/UninsLT18to64[[#This Row],[Total]])</f>
        <v>215</v>
      </c>
      <c r="L217" s="96">
        <v>113</v>
      </c>
      <c r="M217" s="63">
        <v>202</v>
      </c>
      <c r="N217" s="93">
        <f>UninsLT18to64[[#This Row],[Alternate Adj. Total]]*(UninsLT18to64[[#This Row],[400% FPL and over - Uninsured]]/UninsLT18to64[[#This Row],[Total]])</f>
        <v>202</v>
      </c>
      <c r="O217" s="96">
        <v>152</v>
      </c>
      <c r="P217" s="64">
        <f>SUM(UninsLT18to64[[#This Row],[Below 138% of FPL - Uninsured]]+UninsLT18to64[[#This Row],[138 to 199% of FPL - Uninsured]]+UninsLT18to64[[#This Row],[200 to 399% of FPL - Uninsured]]+UninsLT18to64[[#This Row],[400% FPL and over - Uninsured]])</f>
        <v>767</v>
      </c>
      <c r="Q217" s="83">
        <v>9.4939780874031404E-2</v>
      </c>
      <c r="R217"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767</v>
      </c>
      <c r="S217" s="70">
        <f>IF(UninsLT18to64[[#This Row],[Total]]&lt;1000,UninsLT18to64[[#This Row],[Total]],MAX(VLOOKUP(UninsLT18to64[[#This Row],[ZIP Code]],IRSzipToCntyTbl[#All],3,0),(UninsLT18to64[[#This Row],[Total]]-(109811*(VLOOKUP(UninsLT18to64[[#This Row],[ZIP Code]],CitizenshipTbl[#All],4,0))))*0.8))</f>
        <v>767</v>
      </c>
      <c r="V217" s="71"/>
    </row>
    <row r="218" spans="1:22" x14ac:dyDescent="0.3">
      <c r="A218" s="62">
        <v>21851</v>
      </c>
      <c r="B218" s="63" t="str">
        <f>VLOOKUP(A218,ZipToCntyTbl[#All],2,0)</f>
        <v>Pocomoke City</v>
      </c>
      <c r="C218" s="63" t="str">
        <f>VLOOKUP(A218,ZipToCntyTbl[#All],3,0)</f>
        <v>Worcester</v>
      </c>
      <c r="D218" s="63">
        <v>238</v>
      </c>
      <c r="E218" s="93">
        <f>UninsLT18to64[[#This Row],[Alternate Adj. Total]]*(UninsLT18to64[[#This Row],[Below 138% of FPL - Uninsured]]/UninsLT18to64[[#This Row],[Total]])</f>
        <v>238</v>
      </c>
      <c r="F218" s="96">
        <v>227</v>
      </c>
      <c r="G218" s="63">
        <v>151</v>
      </c>
      <c r="H218" s="93">
        <f>UninsLT18to64[[#This Row],[Alternate Adj. Total]]*(UninsLT18to64[[#This Row],[138 to 199% of FPL - Uninsured]]/UninsLT18to64[[#This Row],[Total]])</f>
        <v>151</v>
      </c>
      <c r="I218" s="96">
        <v>160</v>
      </c>
      <c r="J218" s="63">
        <v>45</v>
      </c>
      <c r="K218" s="93">
        <f>UninsLT18to64[[#This Row],[Alternate Adj. Total]]*(UninsLT18to64[[#This Row],[200 to 399% of FPL - Uninsured]]/UninsLT18to64[[#This Row],[Total]])</f>
        <v>45</v>
      </c>
      <c r="L218" s="96">
        <v>51</v>
      </c>
      <c r="M218" s="63">
        <v>178</v>
      </c>
      <c r="N218" s="93">
        <f>UninsLT18to64[[#This Row],[Alternate Adj. Total]]*(UninsLT18to64[[#This Row],[400% FPL and over - Uninsured]]/UninsLT18to64[[#This Row],[Total]])</f>
        <v>178</v>
      </c>
      <c r="O218" s="96">
        <v>146</v>
      </c>
      <c r="P218" s="64">
        <f>SUM(UninsLT18to64[[#This Row],[Below 138% of FPL - Uninsured]]+UninsLT18to64[[#This Row],[138 to 199% of FPL - Uninsured]]+UninsLT18to64[[#This Row],[200 to 399% of FPL - Uninsured]]+UninsLT18to64[[#This Row],[400% FPL and over - Uninsured]])</f>
        <v>612</v>
      </c>
      <c r="Q218" s="83">
        <v>0.11898498681434981</v>
      </c>
      <c r="R218"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612</v>
      </c>
      <c r="S218" s="70">
        <f>IF(UninsLT18to64[[#This Row],[Total]]&lt;1000,UninsLT18to64[[#This Row],[Total]],MAX(VLOOKUP(UninsLT18to64[[#This Row],[ZIP Code]],IRSzipToCntyTbl[#All],3,0),(UninsLT18to64[[#This Row],[Total]]-(109811*(VLOOKUP(UninsLT18to64[[#This Row],[ZIP Code]],CitizenshipTbl[#All],4,0))))*0.8))</f>
        <v>612</v>
      </c>
      <c r="V218" s="71"/>
    </row>
    <row r="219" spans="1:22" x14ac:dyDescent="0.3">
      <c r="A219" s="62">
        <v>21853</v>
      </c>
      <c r="B219" s="63" t="str">
        <f>VLOOKUP(A219,ZipToCntyTbl[#All],2,0)</f>
        <v>Princess Anne</v>
      </c>
      <c r="C219" s="63" t="str">
        <f>VLOOKUP(A219,ZipToCntyTbl[#All],3,0)</f>
        <v>Somerset</v>
      </c>
      <c r="D219" s="63">
        <v>126</v>
      </c>
      <c r="E219" s="93">
        <f>UninsLT18to64[[#This Row],[Alternate Adj. Total]]*(UninsLT18to64[[#This Row],[Below 138% of FPL - Uninsured]]/UninsLT18to64[[#This Row],[Total]])</f>
        <v>125.99999999999999</v>
      </c>
      <c r="F219" s="96">
        <v>137</v>
      </c>
      <c r="G219" s="63">
        <v>137</v>
      </c>
      <c r="H219" s="93">
        <f>UninsLT18to64[[#This Row],[Alternate Adj. Total]]*(UninsLT18to64[[#This Row],[138 to 199% of FPL - Uninsured]]/UninsLT18to64[[#This Row],[Total]])</f>
        <v>137</v>
      </c>
      <c r="I219" s="96">
        <v>120</v>
      </c>
      <c r="J219" s="63">
        <v>289</v>
      </c>
      <c r="K219" s="93">
        <f>UninsLT18to64[[#This Row],[Alternate Adj. Total]]*(UninsLT18to64[[#This Row],[200 to 399% of FPL - Uninsured]]/UninsLT18to64[[#This Row],[Total]])</f>
        <v>289</v>
      </c>
      <c r="L219" s="96">
        <v>230</v>
      </c>
      <c r="M219" s="63">
        <v>122</v>
      </c>
      <c r="N219" s="93">
        <f>UninsLT18to64[[#This Row],[Alternate Adj. Total]]*(UninsLT18to64[[#This Row],[400% FPL and over - Uninsured]]/UninsLT18to64[[#This Row],[Total]])</f>
        <v>122</v>
      </c>
      <c r="O219" s="96">
        <v>104</v>
      </c>
      <c r="P219" s="64">
        <f>SUM(UninsLT18to64[[#This Row],[Below 138% of FPL - Uninsured]]+UninsLT18to64[[#This Row],[138 to 199% of FPL - Uninsured]]+UninsLT18to64[[#This Row],[200 to 399% of FPL - Uninsured]]+UninsLT18to64[[#This Row],[400% FPL and over - Uninsured]])</f>
        <v>674</v>
      </c>
      <c r="Q219" s="83">
        <v>0.10803978031213959</v>
      </c>
      <c r="R219"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674</v>
      </c>
      <c r="S219" s="70">
        <f>IF(UninsLT18to64[[#This Row],[Total]]&lt;1000,UninsLT18to64[[#This Row],[Total]],MAX(VLOOKUP(UninsLT18to64[[#This Row],[ZIP Code]],IRSzipToCntyTbl[#All],3,0),(UninsLT18to64[[#This Row],[Total]]-(109811*(VLOOKUP(UninsLT18to64[[#This Row],[ZIP Code]],CitizenshipTbl[#All],4,0))))*0.8))</f>
        <v>674</v>
      </c>
      <c r="V219" s="71"/>
    </row>
    <row r="220" spans="1:22" x14ac:dyDescent="0.3">
      <c r="A220" s="62">
        <v>21863</v>
      </c>
      <c r="B220" s="63" t="str">
        <f>VLOOKUP(A220,ZipToCntyTbl[#All],2,0)</f>
        <v>Snow Hill</v>
      </c>
      <c r="C220" s="63" t="str">
        <f>VLOOKUP(A220,ZipToCntyTbl[#All],3,0)</f>
        <v>Worcester</v>
      </c>
      <c r="D220" s="63">
        <v>35</v>
      </c>
      <c r="E220" s="93">
        <f>UninsLT18to64[[#This Row],[Alternate Adj. Total]]*(UninsLT18to64[[#This Row],[Below 138% of FPL - Uninsured]]/UninsLT18to64[[#This Row],[Total]])</f>
        <v>35</v>
      </c>
      <c r="F220" s="96">
        <v>65</v>
      </c>
      <c r="G220" s="63">
        <v>124</v>
      </c>
      <c r="H220" s="93">
        <f>UninsLT18to64[[#This Row],[Alternate Adj. Total]]*(UninsLT18to64[[#This Row],[138 to 199% of FPL - Uninsured]]/UninsLT18to64[[#This Row],[Total]])</f>
        <v>124</v>
      </c>
      <c r="I220" s="96">
        <v>128</v>
      </c>
      <c r="J220" s="63">
        <v>123</v>
      </c>
      <c r="K220" s="93">
        <f>UninsLT18to64[[#This Row],[Alternate Adj. Total]]*(UninsLT18to64[[#This Row],[200 to 399% of FPL - Uninsured]]/UninsLT18to64[[#This Row],[Total]])</f>
        <v>123</v>
      </c>
      <c r="L220" s="96">
        <v>108</v>
      </c>
      <c r="M220" s="63">
        <v>17</v>
      </c>
      <c r="N220" s="93">
        <f>UninsLT18to64[[#This Row],[Alternate Adj. Total]]*(UninsLT18to64[[#This Row],[400% FPL and over - Uninsured]]/UninsLT18to64[[#This Row],[Total]])</f>
        <v>17</v>
      </c>
      <c r="O220" s="96">
        <v>40</v>
      </c>
      <c r="P220" s="64">
        <f>SUM(UninsLT18to64[[#This Row],[Below 138% of FPL - Uninsured]]+UninsLT18to64[[#This Row],[138 to 199% of FPL - Uninsured]]+UninsLT18to64[[#This Row],[200 to 399% of FPL - Uninsured]]+UninsLT18to64[[#This Row],[400% FPL and over - Uninsured]])</f>
        <v>299</v>
      </c>
      <c r="Q220" s="83">
        <v>0.24354117702468925</v>
      </c>
      <c r="R220"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299</v>
      </c>
      <c r="S220" s="70">
        <f>IF(UninsLT18to64[[#This Row],[Total]]&lt;1000,UninsLT18to64[[#This Row],[Total]],MAX(VLOOKUP(UninsLT18to64[[#This Row],[ZIP Code]],IRSzipToCntyTbl[#All],3,0),(UninsLT18to64[[#This Row],[Total]]-(109811*(VLOOKUP(UninsLT18to64[[#This Row],[ZIP Code]],CitizenshipTbl[#All],4,0))))*0.8))</f>
        <v>299</v>
      </c>
      <c r="V220" s="71"/>
    </row>
    <row r="221" spans="1:22" x14ac:dyDescent="0.3">
      <c r="A221" s="62">
        <v>21875</v>
      </c>
      <c r="B221" s="63" t="str">
        <f>VLOOKUP(A221,ZipToCntyTbl[#All],2,0)</f>
        <v>Delmar</v>
      </c>
      <c r="C221" s="63" t="str">
        <f>VLOOKUP(A221,ZipToCntyTbl[#All],3,0)</f>
        <v>Wicomico</v>
      </c>
      <c r="D221" s="63">
        <v>303</v>
      </c>
      <c r="E221" s="93">
        <f>UninsLT18to64[[#This Row],[Alternate Adj. Total]]*(UninsLT18to64[[#This Row],[Below 138% of FPL - Uninsured]]/UninsLT18to64[[#This Row],[Total]])</f>
        <v>303</v>
      </c>
      <c r="F221" s="96">
        <v>271</v>
      </c>
      <c r="G221" s="63">
        <v>79</v>
      </c>
      <c r="H221" s="93">
        <f>UninsLT18to64[[#This Row],[Alternate Adj. Total]]*(UninsLT18to64[[#This Row],[138 to 199% of FPL - Uninsured]]/UninsLT18to64[[#This Row],[Total]])</f>
        <v>79</v>
      </c>
      <c r="I221" s="96">
        <v>79</v>
      </c>
      <c r="J221" s="63">
        <v>143</v>
      </c>
      <c r="K221" s="93">
        <f>UninsLT18to64[[#This Row],[Alternate Adj. Total]]*(UninsLT18to64[[#This Row],[200 to 399% of FPL - Uninsured]]/UninsLT18to64[[#This Row],[Total]])</f>
        <v>143</v>
      </c>
      <c r="L221" s="96">
        <v>107</v>
      </c>
      <c r="M221" s="63">
        <v>168</v>
      </c>
      <c r="N221" s="93">
        <f>UninsLT18to64[[#This Row],[Alternate Adj. Total]]*(UninsLT18to64[[#This Row],[400% FPL and over - Uninsured]]/UninsLT18to64[[#This Row],[Total]])</f>
        <v>168</v>
      </c>
      <c r="O221" s="96">
        <v>131</v>
      </c>
      <c r="P221" s="64">
        <f>SUM(UninsLT18to64[[#This Row],[Below 138% of FPL - Uninsured]]+UninsLT18to64[[#This Row],[138 to 199% of FPL - Uninsured]]+UninsLT18to64[[#This Row],[200 to 399% of FPL - Uninsured]]+UninsLT18to64[[#This Row],[400% FPL and over - Uninsured]])</f>
        <v>693</v>
      </c>
      <c r="Q221" s="83">
        <v>0.10507765069319204</v>
      </c>
      <c r="R221"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693</v>
      </c>
      <c r="S221" s="70">
        <f>IF(UninsLT18to64[[#This Row],[Total]]&lt;1000,UninsLT18to64[[#This Row],[Total]],MAX(VLOOKUP(UninsLT18to64[[#This Row],[ZIP Code]],IRSzipToCntyTbl[#All],3,0),(UninsLT18to64[[#This Row],[Total]]-(109811*(VLOOKUP(UninsLT18to64[[#This Row],[ZIP Code]],CitizenshipTbl[#All],4,0))))*0.8))</f>
        <v>693</v>
      </c>
      <c r="V221" s="71"/>
    </row>
    <row r="222" spans="1:22" x14ac:dyDescent="0.3">
      <c r="A222" s="62">
        <v>21901</v>
      </c>
      <c r="B222" s="63" t="str">
        <f>VLOOKUP(A222,ZipToCntyTbl[#All],2,0)</f>
        <v>North East</v>
      </c>
      <c r="C222" s="63" t="str">
        <f>VLOOKUP(A222,ZipToCntyTbl[#All],3,0)</f>
        <v>Cecil</v>
      </c>
      <c r="D222" s="63">
        <v>274</v>
      </c>
      <c r="E222" s="93">
        <f>UninsLT18to64[[#This Row],[Alternate Adj. Total]]*(UninsLT18to64[[#This Row],[Below 138% of FPL - Uninsured]]/UninsLT18to64[[#This Row],[Total]])</f>
        <v>274</v>
      </c>
      <c r="F222" s="96">
        <v>284</v>
      </c>
      <c r="G222" s="63">
        <v>160</v>
      </c>
      <c r="H222" s="93">
        <f>UninsLT18to64[[#This Row],[Alternate Adj. Total]]*(UninsLT18to64[[#This Row],[138 to 199% of FPL - Uninsured]]/UninsLT18to64[[#This Row],[Total]])</f>
        <v>160</v>
      </c>
      <c r="I222" s="96">
        <v>123</v>
      </c>
      <c r="J222" s="63">
        <v>245</v>
      </c>
      <c r="K222" s="93">
        <f>UninsLT18to64[[#This Row],[Alternate Adj. Total]]*(UninsLT18to64[[#This Row],[200 to 399% of FPL - Uninsured]]/UninsLT18to64[[#This Row],[Total]])</f>
        <v>245</v>
      </c>
      <c r="L222" s="96">
        <v>167</v>
      </c>
      <c r="M222" s="63">
        <v>152</v>
      </c>
      <c r="N222" s="93">
        <f>UninsLT18to64[[#This Row],[Alternate Adj. Total]]*(UninsLT18to64[[#This Row],[400% FPL and over - Uninsured]]/UninsLT18to64[[#This Row],[Total]])</f>
        <v>152</v>
      </c>
      <c r="O222" s="96">
        <v>116</v>
      </c>
      <c r="P222" s="64">
        <f>SUM(UninsLT18to64[[#This Row],[Below 138% of FPL - Uninsured]]+UninsLT18to64[[#This Row],[138 to 199% of FPL - Uninsured]]+UninsLT18to64[[#This Row],[200 to 399% of FPL - Uninsured]]+UninsLT18to64[[#This Row],[400% FPL and over - Uninsured]])</f>
        <v>831</v>
      </c>
      <c r="Q222" s="83">
        <v>8.7627932527535604E-2</v>
      </c>
      <c r="R222"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831</v>
      </c>
      <c r="S222" s="70">
        <f>IF(UninsLT18to64[[#This Row],[Total]]&lt;1000,UninsLT18to64[[#This Row],[Total]],MAX(VLOOKUP(UninsLT18to64[[#This Row],[ZIP Code]],IRSzipToCntyTbl[#All],3,0),(UninsLT18to64[[#This Row],[Total]]-(109811*(VLOOKUP(UninsLT18to64[[#This Row],[ZIP Code]],CitizenshipTbl[#All],4,0))))*0.8))</f>
        <v>831</v>
      </c>
      <c r="V222" s="71"/>
    </row>
    <row r="223" spans="1:22" x14ac:dyDescent="0.3">
      <c r="A223" s="62">
        <v>21904</v>
      </c>
      <c r="B223" s="63" t="str">
        <f>VLOOKUP(A223,ZipToCntyTbl[#All],2,0)</f>
        <v>Port Deposit</v>
      </c>
      <c r="C223" s="63" t="str">
        <f>VLOOKUP(A223,ZipToCntyTbl[#All],3,0)</f>
        <v>Cecil</v>
      </c>
      <c r="D223" s="63">
        <v>72</v>
      </c>
      <c r="E223" s="93">
        <f>UninsLT18to64[[#This Row],[Alternate Adj. Total]]*(UninsLT18to64[[#This Row],[Below 138% of FPL - Uninsured]]/UninsLT18to64[[#This Row],[Total]])</f>
        <v>72</v>
      </c>
      <c r="F223" s="96">
        <v>117</v>
      </c>
      <c r="G223" s="63">
        <v>13</v>
      </c>
      <c r="H223" s="93">
        <f>UninsLT18to64[[#This Row],[Alternate Adj. Total]]*(UninsLT18to64[[#This Row],[138 to 199% of FPL - Uninsured]]/UninsLT18to64[[#This Row],[Total]])</f>
        <v>13</v>
      </c>
      <c r="I223" s="96">
        <v>30</v>
      </c>
      <c r="J223" s="63">
        <v>40</v>
      </c>
      <c r="K223" s="93">
        <f>UninsLT18to64[[#This Row],[Alternate Adj. Total]]*(UninsLT18to64[[#This Row],[200 to 399% of FPL - Uninsured]]/UninsLT18to64[[#This Row],[Total]])</f>
        <v>40</v>
      </c>
      <c r="L223" s="96">
        <v>64</v>
      </c>
      <c r="M223" s="63">
        <v>149</v>
      </c>
      <c r="N223" s="93">
        <f>UninsLT18to64[[#This Row],[Alternate Adj. Total]]*(UninsLT18to64[[#This Row],[400% FPL and over - Uninsured]]/UninsLT18to64[[#This Row],[Total]])</f>
        <v>148.99999999999997</v>
      </c>
      <c r="O223" s="96">
        <v>110</v>
      </c>
      <c r="P223" s="64">
        <f>SUM(UninsLT18to64[[#This Row],[Below 138% of FPL - Uninsured]]+UninsLT18to64[[#This Row],[138 to 199% of FPL - Uninsured]]+UninsLT18to64[[#This Row],[200 to 399% of FPL - Uninsured]]+UninsLT18to64[[#This Row],[400% FPL and over - Uninsured]])</f>
        <v>274</v>
      </c>
      <c r="Q223" s="83">
        <v>0.26576208733716089</v>
      </c>
      <c r="R223"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274</v>
      </c>
      <c r="S223" s="70">
        <f>IF(UninsLT18to64[[#This Row],[Total]]&lt;1000,UninsLT18to64[[#This Row],[Total]],MAX(VLOOKUP(UninsLT18to64[[#This Row],[ZIP Code]],IRSzipToCntyTbl[#All],3,0),(UninsLT18to64[[#This Row],[Total]]-(109811*(VLOOKUP(UninsLT18to64[[#This Row],[ZIP Code]],CitizenshipTbl[#All],4,0))))*0.8))</f>
        <v>274</v>
      </c>
      <c r="V223" s="71"/>
    </row>
    <row r="224" spans="1:22" x14ac:dyDescent="0.3">
      <c r="A224" s="62">
        <v>21911</v>
      </c>
      <c r="B224" s="63" t="str">
        <f>VLOOKUP(A224,ZipToCntyTbl[#All],2,0)</f>
        <v>Rising Sun</v>
      </c>
      <c r="C224" s="63" t="str">
        <f>VLOOKUP(A224,ZipToCntyTbl[#All],3,0)</f>
        <v>Cecil</v>
      </c>
      <c r="D224" s="63">
        <v>194</v>
      </c>
      <c r="E224" s="93">
        <f>UninsLT18to64[[#This Row],[Alternate Adj. Total]]*(UninsLT18to64[[#This Row],[Below 138% of FPL - Uninsured]]/UninsLT18to64[[#This Row],[Total]])</f>
        <v>194</v>
      </c>
      <c r="F224" s="96">
        <v>180</v>
      </c>
      <c r="G224" s="63">
        <v>121</v>
      </c>
      <c r="H224" s="93">
        <f>UninsLT18to64[[#This Row],[Alternate Adj. Total]]*(UninsLT18to64[[#This Row],[138 to 199% of FPL - Uninsured]]/UninsLT18to64[[#This Row],[Total]])</f>
        <v>121</v>
      </c>
      <c r="I224" s="96">
        <v>120</v>
      </c>
      <c r="J224" s="63">
        <v>176</v>
      </c>
      <c r="K224" s="93">
        <f>UninsLT18to64[[#This Row],[Alternate Adj. Total]]*(UninsLT18to64[[#This Row],[200 to 399% of FPL - Uninsured]]/UninsLT18to64[[#This Row],[Total]])</f>
        <v>176</v>
      </c>
      <c r="L224" s="96">
        <v>122</v>
      </c>
      <c r="M224" s="63">
        <v>65</v>
      </c>
      <c r="N224" s="93">
        <f>UninsLT18to64[[#This Row],[Alternate Adj. Total]]*(UninsLT18to64[[#This Row],[400% FPL and over - Uninsured]]/UninsLT18to64[[#This Row],[Total]])</f>
        <v>65</v>
      </c>
      <c r="O224" s="96">
        <v>68</v>
      </c>
      <c r="P224" s="64">
        <f>SUM(UninsLT18to64[[#This Row],[Below 138% of FPL - Uninsured]]+UninsLT18to64[[#This Row],[138 to 199% of FPL - Uninsured]]+UninsLT18to64[[#This Row],[200 to 399% of FPL - Uninsured]]+UninsLT18to64[[#This Row],[400% FPL and over - Uninsured]])</f>
        <v>556</v>
      </c>
      <c r="Q224" s="83">
        <v>0.13096908620572317</v>
      </c>
      <c r="R224"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556</v>
      </c>
      <c r="S224" s="70">
        <f>IF(UninsLT18to64[[#This Row],[Total]]&lt;1000,UninsLT18to64[[#This Row],[Total]],MAX(VLOOKUP(UninsLT18to64[[#This Row],[ZIP Code]],IRSzipToCntyTbl[#All],3,0),(UninsLT18to64[[#This Row],[Total]]-(109811*(VLOOKUP(UninsLT18to64[[#This Row],[ZIP Code]],CitizenshipTbl[#All],4,0))))*0.8))</f>
        <v>556</v>
      </c>
      <c r="V224" s="71"/>
    </row>
    <row r="225" spans="1:22" x14ac:dyDescent="0.3">
      <c r="A225" s="62">
        <v>21921</v>
      </c>
      <c r="B225" s="63" t="str">
        <f>VLOOKUP(A225,ZipToCntyTbl[#All],2,0)</f>
        <v>Elkton</v>
      </c>
      <c r="C225" s="63" t="str">
        <f>VLOOKUP(A225,ZipToCntyTbl[#All],3,0)</f>
        <v>Cecil</v>
      </c>
      <c r="D225" s="63">
        <v>975</v>
      </c>
      <c r="E225" s="93">
        <f>UninsLT18to64[[#This Row],[Alternate Adj. Total]]*(UninsLT18to64[[#This Row],[Below 138% of FPL - Uninsured]]/UninsLT18to64[[#This Row],[Total]])</f>
        <v>712.22000984769682</v>
      </c>
      <c r="F225" s="96">
        <v>592</v>
      </c>
      <c r="G225" s="63">
        <v>384</v>
      </c>
      <c r="H225" s="93">
        <f>UninsLT18to64[[#This Row],[Alternate Adj. Total]]*(UninsLT18to64[[#This Row],[138 to 199% of FPL - Uninsured]]/UninsLT18to64[[#This Row],[Total]])</f>
        <v>280.50511157078529</v>
      </c>
      <c r="I225" s="96">
        <v>259</v>
      </c>
      <c r="J225" s="63">
        <v>857</v>
      </c>
      <c r="K225" s="93">
        <f>UninsLT18to64[[#This Row],[Alternate Adj. Total]]*(UninsLT18to64[[#This Row],[200 to 399% of FPL - Uninsured]]/UninsLT18to64[[#This Row],[Total]])</f>
        <v>626.02312660459097</v>
      </c>
      <c r="L225" s="96">
        <v>359</v>
      </c>
      <c r="M225" s="63">
        <v>432</v>
      </c>
      <c r="N225" s="93">
        <f>UninsLT18to64[[#This Row],[Alternate Adj. Total]]*(UninsLT18to64[[#This Row],[400% FPL and over - Uninsured]]/UninsLT18to64[[#This Row],[Total]])</f>
        <v>315.56825051713338</v>
      </c>
      <c r="O225" s="96">
        <v>214</v>
      </c>
      <c r="P225" s="64">
        <f>SUM(UninsLT18to64[[#This Row],[Below 138% of FPL - Uninsured]]+UninsLT18to64[[#This Row],[138 to 199% of FPL - Uninsured]]+UninsLT18to64[[#This Row],[200 to 399% of FPL - Uninsured]]+UninsLT18to64[[#This Row],[400% FPL and over - Uninsured]])</f>
        <v>2648</v>
      </c>
      <c r="Q225" s="83">
        <v>2.7499551333225861E-2</v>
      </c>
      <c r="R225" s="64">
        <f>IF(UninsLT18to64[[#This Row],[Total]]&lt;1000,UninsLT18to64[[#This Row],[Total]],MAX(VLOOKUP(UninsLT18to64[[#This Row],[ZIP Code]],IRSzipToCntyTbl[#All],3,0),(UninsLT18to64[[#This Row],[Total]]-(VLOOKUP(UninsLT18to64[[#This Row],[ZIP Code]],CitizenshipTbl[[#All],[ZIP Code]:[Estimate; Foreign Born: - Noncitizen: - No health insurance coverage]],3,0))))*0.8)</f>
        <v>1856</v>
      </c>
      <c r="S225" s="70">
        <f>IF(UninsLT18to64[[#This Row],[Total]]&lt;1000,UninsLT18to64[[#This Row],[Total]],MAX(VLOOKUP(UninsLT18to64[[#This Row],[ZIP Code]],IRSzipToCntyTbl[#All],3,0),(UninsLT18to64[[#This Row],[Total]]-(109811*(VLOOKUP(UninsLT18to64[[#This Row],[ZIP Code]],CitizenshipTbl[#All],4,0))))*0.8))</f>
        <v>1934.3164985402066</v>
      </c>
      <c r="V225" s="71"/>
    </row>
    <row r="226" spans="1:22" x14ac:dyDescent="0.3">
      <c r="A226" s="65" t="s">
        <v>1416</v>
      </c>
      <c r="B226" s="66"/>
      <c r="C226" s="66"/>
      <c r="D226" s="66">
        <f>SUBTOTAL(109,UninsLT18to64[Below 138% of FPL - Uninsured])</f>
        <v>110629</v>
      </c>
      <c r="E226" s="94">
        <f>SUBTOTAL(109,UninsLT18to64[Adjusted Below 138% of FPL - Uninsured])</f>
        <v>68813.784480123199</v>
      </c>
      <c r="F226" s="67"/>
      <c r="G226" s="66">
        <f>SUBTOTAL(109,UninsLT18to64[138 to 199% of FPL - Uninsured])</f>
        <v>67026</v>
      </c>
      <c r="H226" s="94">
        <f>SUBTOTAL(109,UninsLT18to64[Adjusted 138 to 199% of FPL - Uninsured])</f>
        <v>40314.92372854182</v>
      </c>
      <c r="I226" s="67"/>
      <c r="J226" s="66">
        <f>SUBTOTAL(109,UninsLT18to64[200 to 399% of FPL - Uninsured])</f>
        <v>139777</v>
      </c>
      <c r="K226" s="94">
        <f>SUBTOTAL(109,UninsLT18to64[Adjusted 200 to 399% of FPL - Uninsured])</f>
        <v>85722.382503244007</v>
      </c>
      <c r="L226" s="67"/>
      <c r="M226" s="66">
        <f>SUBTOTAL(109,UninsLT18to64[400% FPL and over - Uninsured])</f>
        <v>86322</v>
      </c>
      <c r="N226" s="94">
        <f>SUBTOTAL(109,UninsLT18to64[Adjusted 400% FPL and over - Uninsured])</f>
        <v>57160.038557427637</v>
      </c>
      <c r="O226" s="67"/>
      <c r="P226" s="64">
        <f>SUBTOTAL(109,UninsLT18to64[Total])</f>
        <v>403754</v>
      </c>
      <c r="Q226" s="64"/>
      <c r="R226" s="64">
        <f>SUBTOTAL(109,UninsLT18to64[Adjusted Total])</f>
        <v>217146.20000000013</v>
      </c>
      <c r="S226" s="70">
        <f>SUBTOTAL(109,UninsLT18to64[Alternate Adj. Total])</f>
        <v>252011.12926933661</v>
      </c>
    </row>
  </sheetData>
  <mergeCells count="2">
    <mergeCell ref="A1:C1"/>
    <mergeCell ref="D1:J1"/>
  </mergeCells>
  <pageMargins left="0.7" right="0.7" top="0.75" bottom="0.75" header="0.3" footer="0.3"/>
  <pageSetup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8"/>
  <sheetViews>
    <sheetView workbookViewId="0">
      <selection activeCell="E4" sqref="E4"/>
    </sheetView>
  </sheetViews>
  <sheetFormatPr defaultColWidth="0" defaultRowHeight="14.4" x14ac:dyDescent="0.3"/>
  <cols>
    <col min="1" max="1" width="21.5546875" bestFit="1" customWidth="1"/>
    <col min="2" max="5" width="20.88671875" style="73" customWidth="1"/>
    <col min="6" max="6" width="14.109375" style="73" bestFit="1" customWidth="1"/>
    <col min="7" max="7" width="19.77734375" style="73" bestFit="1" customWidth="1"/>
    <col min="8" max="8" width="9.44140625" bestFit="1" customWidth="1"/>
    <col min="9" max="9" width="13.33203125" bestFit="1" customWidth="1"/>
    <col min="10" max="10" width="8.88671875" customWidth="1"/>
    <col min="11" max="11" width="8.88671875" hidden="1" customWidth="1"/>
    <col min="12" max="16384" width="8.88671875" hidden="1"/>
  </cols>
  <sheetData>
    <row r="1" spans="1:11" ht="67.2" customHeight="1" x14ac:dyDescent="0.3">
      <c r="A1" s="125" t="s">
        <v>1532</v>
      </c>
      <c r="B1" s="125"/>
      <c r="C1" s="125"/>
      <c r="D1" s="125"/>
      <c r="E1" s="125"/>
    </row>
    <row r="2" spans="1:11" x14ac:dyDescent="0.3">
      <c r="A2" t="s">
        <v>1506</v>
      </c>
    </row>
    <row r="3" spans="1:11" s="76" customFormat="1" ht="43.2" customHeight="1" x14ac:dyDescent="0.3">
      <c r="A3" s="74" t="s">
        <v>987</v>
      </c>
      <c r="B3" s="77" t="s">
        <v>1495</v>
      </c>
      <c r="C3" s="77" t="s">
        <v>1497</v>
      </c>
      <c r="D3" s="77" t="s">
        <v>1499</v>
      </c>
      <c r="E3" s="77" t="s">
        <v>1501</v>
      </c>
      <c r="F3" s="77" t="s">
        <v>1547</v>
      </c>
      <c r="G3" s="77" t="s">
        <v>1494</v>
      </c>
      <c r="H3" s="75" t="s">
        <v>1507</v>
      </c>
      <c r="I3" s="75" t="s">
        <v>1508</v>
      </c>
      <c r="J3" s="82" t="s">
        <v>1515</v>
      </c>
    </row>
    <row r="4" spans="1:11" x14ac:dyDescent="0.3">
      <c r="A4" s="2" t="s">
        <v>1032</v>
      </c>
      <c r="B4" s="73">
        <f>SUMIF(UninsLT18to64[County],MostNeedCntyTbl[[#This Row],[County]],UninsLT18to64[Adjusted Below 138% of FPL - Uninsured])</f>
        <v>943.241658018767</v>
      </c>
      <c r="C4" s="73">
        <f>SUMIF(UninsLT18to64[County],MostNeedCntyTbl[[#This Row],[County]],UninsLT18to64[Adjusted 138 to 199% of FPL - Uninsured])</f>
        <v>413.51119621146779</v>
      </c>
      <c r="D4" s="73">
        <f>SUMIF(UninsLT18to64[County],MostNeedCntyTbl[[#This Row],[County]],UninsLT18to64[Adjusted 200 to 399% of FPL - Uninsured])</f>
        <v>841.96409100223605</v>
      </c>
      <c r="E4" s="73">
        <f>SUMIF(UninsLT18to64[County],MostNeedCntyTbl[[#This Row],[County]],UninsLT18to64[Adjusted 400% FPL and over - Uninsured])</f>
        <v>287.39079071422299</v>
      </c>
      <c r="F4" s="73">
        <f>SUMIF(UninsLT18to64[County],MostNeedCntyTbl[[#This Row],[County]],UninsLT18to64[Total])</f>
        <v>3019</v>
      </c>
      <c r="G4" s="73">
        <f>SUMIF(UninsLT18to64[County],MostNeedCntyTbl[[#This Row],[County]],UninsLT18to64[Alternate Adj. Total])</f>
        <v>2486.1077359466935</v>
      </c>
      <c r="H4" s="71">
        <f t="shared" ref="H4:H27" si="0">F4/$K$4</f>
        <v>7.477325302040351E-3</v>
      </c>
      <c r="I4" s="71">
        <f t="shared" ref="I4:I27" si="1">G4/$K$4</f>
        <v>6.1574813771422534E-3</v>
      </c>
      <c r="J4" s="71">
        <f>MostNeedCntyTbl[[#This Row],[Raw Uninsured Total]]/(SUMIF(UninsuredTable[County],MostNeedCntyTbl[[#This Row],[County]],UninsuredTable[Total Population]))</f>
        <v>5.9517003449975354E-2</v>
      </c>
      <c r="K4">
        <f>SUM(F4:F27)</f>
        <v>403754</v>
      </c>
    </row>
    <row r="5" spans="1:11" x14ac:dyDescent="0.3">
      <c r="A5" s="4" t="s">
        <v>996</v>
      </c>
      <c r="B5" s="73">
        <f>SUMIF(UninsLT18to64[County],MostNeedCntyTbl[[#This Row],[County]],UninsLT18to64[Adjusted Below 138% of FPL - Uninsured])</f>
        <v>4050.4277032468103</v>
      </c>
      <c r="C5" s="73">
        <f>SUMIF(UninsLT18to64[County],MostNeedCntyTbl[[#This Row],[County]],UninsLT18to64[Adjusted 138 to 199% of FPL - Uninsured])</f>
        <v>2672.6441540633182</v>
      </c>
      <c r="D5" s="73">
        <f>SUMIF(UninsLT18to64[County],MostNeedCntyTbl[[#This Row],[County]],UninsLT18to64[Adjusted 200 to 399% of FPL - Uninsured])</f>
        <v>5865.3325997654292</v>
      </c>
      <c r="E5" s="73">
        <f>SUMIF(UninsLT18to64[County],MostNeedCntyTbl[[#This Row],[County]],UninsLT18to64[Adjusted 400% FPL and over - Uninsured])</f>
        <v>5690.0476048426826</v>
      </c>
      <c r="F5" s="73">
        <f>SUMIF(UninsLT18to64[County],MostNeedCntyTbl[[#This Row],[County]],UninsLT18to64[Total])</f>
        <v>26269</v>
      </c>
      <c r="G5" s="73">
        <f>SUMIF(UninsLT18to64[County],MostNeedCntyTbl[[#This Row],[County]],UninsLT18to64[Alternate Adj. Total])</f>
        <v>18278.45206191824</v>
      </c>
      <c r="H5" s="71">
        <f t="shared" si="0"/>
        <v>6.5061894123649544E-2</v>
      </c>
      <c r="I5" s="71">
        <f t="shared" si="1"/>
        <v>4.5271259385463031E-2</v>
      </c>
      <c r="J5" s="71">
        <f>MostNeedCntyTbl[[#This Row],[Raw Uninsured Total]]/(SUMIF(UninsuredTable[County],MostNeedCntyTbl[[#This Row],[County]],UninsuredTable[Total Population]))</f>
        <v>5.3066864370314555E-2</v>
      </c>
    </row>
    <row r="6" spans="1:11" x14ac:dyDescent="0.3">
      <c r="A6" s="2" t="s">
        <v>992</v>
      </c>
      <c r="B6" s="73">
        <f>SUMIF(UninsLT18to64[County],MostNeedCntyTbl[[#This Row],[County]],UninsLT18to64[Adjusted Below 138% of FPL - Uninsured])</f>
        <v>8953.6259131780389</v>
      </c>
      <c r="C6" s="73">
        <f>SUMIF(UninsLT18to64[County],MostNeedCntyTbl[[#This Row],[County]],UninsLT18to64[Adjusted 138 to 199% of FPL - Uninsured])</f>
        <v>5501.1107969524037</v>
      </c>
      <c r="D6" s="73">
        <f>SUMIF(UninsLT18to64[County],MostNeedCntyTbl[[#This Row],[County]],UninsLT18to64[Adjusted 200 to 399% of FPL - Uninsured])</f>
        <v>11524.586624464082</v>
      </c>
      <c r="E6" s="73">
        <f>SUMIF(UninsLT18to64[County],MostNeedCntyTbl[[#This Row],[County]],UninsLT18to64[Adjusted 400% FPL and over - Uninsured])</f>
        <v>6469.6628047151289</v>
      </c>
      <c r="F6" s="73">
        <f>SUMIF(UninsLT18to64[County],MostNeedCntyTbl[[#This Row],[County]],UninsLT18to64[Total])</f>
        <v>49962</v>
      </c>
      <c r="G6" s="73">
        <f>SUMIF(UninsLT18to64[County],MostNeedCntyTbl[[#This Row],[County]],UninsLT18to64[Alternate Adj. Total])</f>
        <v>32448.986139309651</v>
      </c>
      <c r="H6" s="71">
        <f t="shared" si="0"/>
        <v>0.12374366569742962</v>
      </c>
      <c r="I6" s="71">
        <f t="shared" si="1"/>
        <v>8.0368209700237406E-2</v>
      </c>
      <c r="J6" s="71">
        <f>MostNeedCntyTbl[[#This Row],[Raw Uninsured Total]]/(SUMIF(UninsuredTable[County],MostNeedCntyTbl[[#This Row],[County]],UninsuredTable[Total Population]))</f>
        <v>6.8632797636137097E-2</v>
      </c>
    </row>
    <row r="7" spans="1:11" x14ac:dyDescent="0.3">
      <c r="A7" s="4" t="s">
        <v>993</v>
      </c>
      <c r="B7" s="73">
        <f>SUMIF(UninsLT18to64[County],MostNeedCntyTbl[[#This Row],[County]],UninsLT18to64[Adjusted Below 138% of FPL - Uninsured])</f>
        <v>13505.743365615959</v>
      </c>
      <c r="C7" s="73">
        <f>SUMIF(UninsLT18to64[County],MostNeedCntyTbl[[#This Row],[County]],UninsLT18to64[Adjusted 138 to 199% of FPL - Uninsured])</f>
        <v>5701.0910972036536</v>
      </c>
      <c r="D7" s="73">
        <f>SUMIF(UninsLT18to64[County],MostNeedCntyTbl[[#This Row],[County]],UninsLT18to64[Adjusted 200 to 399% of FPL - Uninsured])</f>
        <v>9675.627277170197</v>
      </c>
      <c r="E7" s="73">
        <f>SUMIF(UninsLT18to64[County],MostNeedCntyTbl[[#This Row],[County]],UninsLT18to64[Adjusted 400% FPL and over - Uninsured])</f>
        <v>5714.0190590953425</v>
      </c>
      <c r="F7" s="73">
        <f>SUMIF(UninsLT18to64[County],MostNeedCntyTbl[[#This Row],[County]],UninsLT18to64[Total])</f>
        <v>50162</v>
      </c>
      <c r="G7" s="73">
        <f>SUMIF(UninsLT18to64[County],MostNeedCntyTbl[[#This Row],[County]],UninsLT18to64[Alternate Adj. Total])</f>
        <v>34596.480799085155</v>
      </c>
      <c r="H7" s="71">
        <f t="shared" si="0"/>
        <v>0.12423901682707787</v>
      </c>
      <c r="I7" s="71">
        <f t="shared" si="1"/>
        <v>8.5687029228404307E-2</v>
      </c>
      <c r="J7" s="71">
        <f>MostNeedCntyTbl[[#This Row],[Raw Uninsured Total]]/(SUMIF(UninsuredTable[County],MostNeedCntyTbl[[#This Row],[County]],UninsuredTable[Total Population]))</f>
        <v>7.8206681290857699E-2</v>
      </c>
    </row>
    <row r="8" spans="1:11" x14ac:dyDescent="0.3">
      <c r="A8" s="2" t="s">
        <v>1055</v>
      </c>
      <c r="B8" s="73">
        <f>SUMIF(UninsLT18to64[County],MostNeedCntyTbl[[#This Row],[County]],UninsLT18to64[Adjusted Below 138% of FPL - Uninsured])</f>
        <v>1108.8554710903313</v>
      </c>
      <c r="C8" s="73">
        <f>SUMIF(UninsLT18to64[County],MostNeedCntyTbl[[#This Row],[County]],UninsLT18to64[Adjusted 138 to 199% of FPL - Uninsured])</f>
        <v>461.46539307537182</v>
      </c>
      <c r="D8" s="73">
        <f>SUMIF(UninsLT18to64[County],MostNeedCntyTbl[[#This Row],[County]],UninsLT18to64[Adjusted 200 to 399% of FPL - Uninsured])</f>
        <v>1193.9607921518943</v>
      </c>
      <c r="E8" s="73">
        <f>SUMIF(UninsLT18to64[County],MostNeedCntyTbl[[#This Row],[County]],UninsLT18to64[Adjusted 400% FPL and over - Uninsured])</f>
        <v>991.07286456990596</v>
      </c>
      <c r="F8" s="73">
        <f>SUMIF(UninsLT18to64[County],MostNeedCntyTbl[[#This Row],[County]],UninsLT18to64[Total])</f>
        <v>4082</v>
      </c>
      <c r="G8" s="73">
        <f>SUMIF(UninsLT18to64[County],MostNeedCntyTbl[[#This Row],[County]],UninsLT18to64[Alternate Adj. Total])</f>
        <v>3755.3545208875034</v>
      </c>
      <c r="H8" s="71">
        <f t="shared" si="0"/>
        <v>1.0110116556120806E-2</v>
      </c>
      <c r="I8" s="71">
        <f t="shared" si="1"/>
        <v>9.3010955207564593E-3</v>
      </c>
      <c r="J8" s="71">
        <f>MostNeedCntyTbl[[#This Row],[Raw Uninsured Total]]/(SUMIF(UninsuredTable[County],MostNeedCntyTbl[[#This Row],[County]],UninsuredTable[Total Population]))</f>
        <v>5.9964156653054032E-2</v>
      </c>
    </row>
    <row r="9" spans="1:11" x14ac:dyDescent="0.3">
      <c r="A9" s="4" t="s">
        <v>1095</v>
      </c>
      <c r="B9" s="73">
        <f>SUMIF(UninsLT18to64[County],MostNeedCntyTbl[[#This Row],[County]],UninsLT18to64[Adjusted Below 138% of FPL - Uninsured])</f>
        <v>847</v>
      </c>
      <c r="C9" s="73">
        <f>SUMIF(UninsLT18to64[County],MostNeedCntyTbl[[#This Row],[County]],UninsLT18to64[Adjusted 138 to 199% of FPL - Uninsured])</f>
        <v>305</v>
      </c>
      <c r="D9" s="73">
        <f>SUMIF(UninsLT18to64[County],MostNeedCntyTbl[[#This Row],[County]],UninsLT18to64[Adjusted 200 to 399% of FPL - Uninsured])</f>
        <v>974</v>
      </c>
      <c r="E9" s="73">
        <f>SUMIF(UninsLT18to64[County],MostNeedCntyTbl[[#This Row],[County]],UninsLT18to64[Adjusted 400% FPL and over - Uninsured])</f>
        <v>373</v>
      </c>
      <c r="F9" s="73">
        <f>SUMIF(UninsLT18to64[County],MostNeedCntyTbl[[#This Row],[County]],UninsLT18to64[Total])</f>
        <v>2499</v>
      </c>
      <c r="G9" s="73">
        <f>SUMIF(UninsLT18to64[County],MostNeedCntyTbl[[#This Row],[County]],UninsLT18to64[Alternate Adj. Total])</f>
        <v>2499</v>
      </c>
      <c r="H9" s="71">
        <f t="shared" si="0"/>
        <v>6.1894123649548979E-3</v>
      </c>
      <c r="I9" s="71">
        <f t="shared" si="1"/>
        <v>6.1894123649548979E-3</v>
      </c>
      <c r="J9" s="71">
        <f>MostNeedCntyTbl[[#This Row],[Raw Uninsured Total]]/(SUMIF(UninsuredTable[County],MostNeedCntyTbl[[#This Row],[County]],UninsuredTable[Total Population]))</f>
        <v>8.1557390424594492E-2</v>
      </c>
    </row>
    <row r="10" spans="1:11" x14ac:dyDescent="0.3">
      <c r="A10" s="2" t="s">
        <v>1041</v>
      </c>
      <c r="B10" s="73">
        <f>SUMIF(UninsLT18to64[County],MostNeedCntyTbl[[#This Row],[County]],UninsLT18to64[Adjusted Below 138% of FPL - Uninsured])</f>
        <v>858.88233808328755</v>
      </c>
      <c r="C10" s="73">
        <f>SUMIF(UninsLT18to64[County],MostNeedCntyTbl[[#This Row],[County]],UninsLT18to64[Adjusted 138 to 199% of FPL - Uninsured])</f>
        <v>880.18788690976271</v>
      </c>
      <c r="D10" s="73">
        <f>SUMIF(UninsLT18to64[County],MostNeedCntyTbl[[#This Row],[County]],UninsLT18to64[Adjusted 200 to 399% of FPL - Uninsured])</f>
        <v>1719.2099327326391</v>
      </c>
      <c r="E10" s="73">
        <f>SUMIF(UninsLT18to64[County],MostNeedCntyTbl[[#This Row],[County]],UninsLT18to64[Adjusted 400% FPL and over - Uninsured])</f>
        <v>1273.6245973037303</v>
      </c>
      <c r="F10" s="73">
        <f>SUMIF(UninsLT18to64[County],MostNeedCntyTbl[[#This Row],[County]],UninsLT18to64[Total])</f>
        <v>5172</v>
      </c>
      <c r="G10" s="73">
        <f>SUMIF(UninsLT18to64[County],MostNeedCntyTbl[[#This Row],[County]],UninsLT18to64[Alternate Adj. Total])</f>
        <v>4731.9047550294199</v>
      </c>
      <c r="H10" s="71">
        <f t="shared" si="0"/>
        <v>1.2809780212703775E-2</v>
      </c>
      <c r="I10" s="71">
        <f t="shared" si="1"/>
        <v>1.1719771828958772E-2</v>
      </c>
      <c r="J10" s="71">
        <f>MostNeedCntyTbl[[#This Row],[Raw Uninsured Total]]/(SUMIF(UninsuredTable[County],MostNeedCntyTbl[[#This Row],[County]],UninsuredTable[Total Population]))</f>
        <v>3.741508901637091E-2</v>
      </c>
    </row>
    <row r="11" spans="1:11" x14ac:dyDescent="0.3">
      <c r="A11" s="4" t="s">
        <v>1017</v>
      </c>
      <c r="B11" s="73">
        <f>SUMIF(UninsLT18to64[County],MostNeedCntyTbl[[#This Row],[County]],UninsLT18to64[Adjusted Below 138% of FPL - Uninsured])</f>
        <v>1252.2200098476969</v>
      </c>
      <c r="C11" s="73">
        <f>SUMIF(UninsLT18to64[County],MostNeedCntyTbl[[#This Row],[County]],UninsLT18to64[Adjusted 138 to 199% of FPL - Uninsured])</f>
        <v>574.50511157078529</v>
      </c>
      <c r="D11" s="73">
        <f>SUMIF(UninsLT18to64[County],MostNeedCntyTbl[[#This Row],[County]],UninsLT18to64[Adjusted 200 to 399% of FPL - Uninsured])</f>
        <v>1087.023126604591</v>
      </c>
      <c r="E11" s="73">
        <f>SUMIF(UninsLT18to64[County],MostNeedCntyTbl[[#This Row],[County]],UninsLT18to64[Adjusted 400% FPL and over - Uninsured])</f>
        <v>681.56825051713338</v>
      </c>
      <c r="F11" s="73">
        <f>SUMIF(UninsLT18to64[County],MostNeedCntyTbl[[#This Row],[County]],UninsLT18to64[Total])</f>
        <v>4309</v>
      </c>
      <c r="G11" s="73">
        <f>SUMIF(UninsLT18to64[County],MostNeedCntyTbl[[#This Row],[County]],UninsLT18to64[Alternate Adj. Total])</f>
        <v>3595.3164985402063</v>
      </c>
      <c r="H11" s="71">
        <f t="shared" si="0"/>
        <v>1.0672340088271571E-2</v>
      </c>
      <c r="I11" s="71">
        <f t="shared" si="1"/>
        <v>8.9047204449744302E-3</v>
      </c>
      <c r="J11" s="71">
        <f>MostNeedCntyTbl[[#This Row],[Raw Uninsured Total]]/(SUMIF(UninsuredTable[County],MostNeedCntyTbl[[#This Row],[County]],UninsuredTable[Total Population]))</f>
        <v>5.4229225134975273E-2</v>
      </c>
    </row>
    <row r="12" spans="1:11" x14ac:dyDescent="0.3">
      <c r="A12" s="2" t="s">
        <v>1070</v>
      </c>
      <c r="B12" s="73">
        <f>SUMIF(UninsLT18to64[County],MostNeedCntyTbl[[#This Row],[County]],UninsLT18to64[Adjusted Below 138% of FPL - Uninsured])</f>
        <v>857.12625473759351</v>
      </c>
      <c r="C12" s="73">
        <f>SUMIF(UninsLT18to64[County],MostNeedCntyTbl[[#This Row],[County]],UninsLT18to64[Adjusted 138 to 199% of FPL - Uninsured])</f>
        <v>467.51466309052199</v>
      </c>
      <c r="D12" s="73">
        <f>SUMIF(UninsLT18to64[County],MostNeedCntyTbl[[#This Row],[County]],UninsLT18to64[Adjusted 200 to 399% of FPL - Uninsured])</f>
        <v>1353.4699114176301</v>
      </c>
      <c r="E12" s="73">
        <f>SUMIF(UninsLT18to64[County],MostNeedCntyTbl[[#This Row],[County]],UninsLT18to64[Adjusted 400% FPL and over - Uninsured])</f>
        <v>1341.5104243238807</v>
      </c>
      <c r="F12" s="73">
        <f>SUMIF(UninsLT18to64[County],MostNeedCntyTbl[[#This Row],[County]],UninsLT18to64[Total])</f>
        <v>4792</v>
      </c>
      <c r="G12" s="73">
        <f>SUMIF(UninsLT18to64[County],MostNeedCntyTbl[[#This Row],[County]],UninsLT18to64[Alternate Adj. Total])</f>
        <v>4019.6212535696259</v>
      </c>
      <c r="H12" s="71">
        <f t="shared" si="0"/>
        <v>1.1868613066372097E-2</v>
      </c>
      <c r="I12" s="71">
        <f t="shared" si="1"/>
        <v>9.9556196435691673E-3</v>
      </c>
      <c r="J12" s="71">
        <f>MostNeedCntyTbl[[#This Row],[Raw Uninsured Total]]/(SUMIF(UninsuredTable[County],MostNeedCntyTbl[[#This Row],[County]],UninsuredTable[Total Population]))</f>
        <v>4.0746220430930395E-2</v>
      </c>
    </row>
    <row r="13" spans="1:11" x14ac:dyDescent="0.3">
      <c r="A13" s="4" t="s">
        <v>1097</v>
      </c>
      <c r="B13" s="73">
        <f>SUMIF(UninsLT18to64[County],MostNeedCntyTbl[[#This Row],[County]],UninsLT18to64[Adjusted Below 138% of FPL - Uninsured])</f>
        <v>256</v>
      </c>
      <c r="C13" s="73">
        <f>SUMIF(UninsLT18to64[County],MostNeedCntyTbl[[#This Row],[County]],UninsLT18to64[Adjusted 138 to 199% of FPL - Uninsured])</f>
        <v>207</v>
      </c>
      <c r="D13" s="73">
        <f>SUMIF(UninsLT18to64[County],MostNeedCntyTbl[[#This Row],[County]],UninsLT18to64[Adjusted 200 to 399% of FPL - Uninsured])</f>
        <v>450</v>
      </c>
      <c r="E13" s="73">
        <f>SUMIF(UninsLT18to64[County],MostNeedCntyTbl[[#This Row],[County]],UninsLT18to64[Adjusted 400% FPL and over - Uninsured])</f>
        <v>223</v>
      </c>
      <c r="F13" s="73">
        <f>SUMIF(UninsLT18to64[County],MostNeedCntyTbl[[#This Row],[County]],UninsLT18to64[Total])</f>
        <v>1136</v>
      </c>
      <c r="G13" s="73">
        <f>SUMIF(UninsLT18to64[County],MostNeedCntyTbl[[#This Row],[County]],UninsLT18to64[Alternate Adj. Total])</f>
        <v>1136</v>
      </c>
      <c r="H13" s="71">
        <f t="shared" si="0"/>
        <v>2.8135944164020665E-3</v>
      </c>
      <c r="I13" s="71">
        <f t="shared" si="1"/>
        <v>2.8135944164020665E-3</v>
      </c>
      <c r="J13" s="71">
        <f>MostNeedCntyTbl[[#This Row],[Raw Uninsured Total]]/(SUMIF(UninsuredTable[County],MostNeedCntyTbl[[#This Row],[County]],UninsuredTable[Total Population]))</f>
        <v>4.9477351916376304E-2</v>
      </c>
    </row>
    <row r="14" spans="1:11" x14ac:dyDescent="0.3">
      <c r="A14" s="2" t="s">
        <v>1027</v>
      </c>
      <c r="B14" s="73">
        <f>SUMIF(UninsLT18to64[County],MostNeedCntyTbl[[#This Row],[County]],UninsLT18to64[Adjusted Below 138% of FPL - Uninsured])</f>
        <v>1753.3430884460149</v>
      </c>
      <c r="C14" s="73">
        <f>SUMIF(UninsLT18to64[County],MostNeedCntyTbl[[#This Row],[County]],UninsLT18to64[Adjusted 138 to 199% of FPL - Uninsured])</f>
        <v>1080.347244486946</v>
      </c>
      <c r="D14" s="73">
        <f>SUMIF(UninsLT18to64[County],MostNeedCntyTbl[[#This Row],[County]],UninsLT18to64[Adjusted 200 to 399% of FPL - Uninsured])</f>
        <v>3074.6764742865753</v>
      </c>
      <c r="E14" s="73">
        <f>SUMIF(UninsLT18to64[County],MostNeedCntyTbl[[#This Row],[County]],UninsLT18to64[Adjusted 400% FPL and over - Uninsured])</f>
        <v>1843.0600568120499</v>
      </c>
      <c r="F14" s="73">
        <f>SUMIF(UninsLT18to64[County],MostNeedCntyTbl[[#This Row],[County]],UninsLT18to64[Total])</f>
        <v>11023</v>
      </c>
      <c r="G14" s="73">
        <f>SUMIF(UninsLT18to64[County],MostNeedCntyTbl[[#This Row],[County]],UninsLT18to64[Alternate Adj. Total])</f>
        <v>7751.4268640315859</v>
      </c>
      <c r="H14" s="71">
        <f t="shared" si="0"/>
        <v>2.7301277510563361E-2</v>
      </c>
      <c r="I14" s="71">
        <f t="shared" si="1"/>
        <v>1.9198390267419235E-2</v>
      </c>
      <c r="J14" s="71">
        <f>MostNeedCntyTbl[[#This Row],[Raw Uninsured Total]]/(SUMIF(UninsuredTable[County],MostNeedCntyTbl[[#This Row],[County]],UninsuredTable[Total Population]))</f>
        <v>5.4551483178763377E-2</v>
      </c>
    </row>
    <row r="15" spans="1:11" x14ac:dyDescent="0.3">
      <c r="A15" s="4" t="s">
        <v>1064</v>
      </c>
      <c r="B15" s="73">
        <f>SUMIF(UninsLT18to64[County],MostNeedCntyTbl[[#This Row],[County]],UninsLT18to64[Adjusted Below 138% of FPL - Uninsured])</f>
        <v>341</v>
      </c>
      <c r="C15" s="73">
        <f>SUMIF(UninsLT18to64[County],MostNeedCntyTbl[[#This Row],[County]],UninsLT18to64[Adjusted 138 to 199% of FPL - Uninsured])</f>
        <v>281.59999999999997</v>
      </c>
      <c r="D15" s="73">
        <f>SUMIF(UninsLT18to64[County],MostNeedCntyTbl[[#This Row],[County]],UninsLT18to64[Adjusted 200 to 399% of FPL - Uninsured])</f>
        <v>400.6</v>
      </c>
      <c r="E15" s="73">
        <f>SUMIF(UninsLT18to64[County],MostNeedCntyTbl[[#This Row],[County]],UninsLT18to64[Adjusted 400% FPL and over - Uninsured])</f>
        <v>259.39999999999998</v>
      </c>
      <c r="F15" s="73">
        <f>SUMIF(UninsLT18to64[County],MostNeedCntyTbl[[#This Row],[County]],UninsLT18to64[Total])</f>
        <v>1517</v>
      </c>
      <c r="G15" s="73">
        <f>SUMIF(UninsLT18to64[County],MostNeedCntyTbl[[#This Row],[County]],UninsLT18to64[Alternate Adj. Total])</f>
        <v>1282.5999999999999</v>
      </c>
      <c r="H15" s="71">
        <f t="shared" si="0"/>
        <v>3.7572383183819853E-3</v>
      </c>
      <c r="I15" s="71">
        <f t="shared" si="1"/>
        <v>3.1766867944342343E-3</v>
      </c>
      <c r="J15" s="71">
        <f>MostNeedCntyTbl[[#This Row],[Raw Uninsured Total]]/(SUMIF(UninsuredTable[County],MostNeedCntyTbl[[#This Row],[County]],UninsuredTable[Total Population]))</f>
        <v>8.3770500855927993E-2</v>
      </c>
    </row>
    <row r="16" spans="1:11" x14ac:dyDescent="0.3">
      <c r="A16" s="2" t="s">
        <v>1045</v>
      </c>
      <c r="B16" s="73">
        <f>SUMIF(UninsLT18to64[County],MostNeedCntyTbl[[#This Row],[County]],UninsLT18to64[Adjusted Below 138% of FPL - Uninsured])</f>
        <v>1949.0075723040106</v>
      </c>
      <c r="C16" s="73">
        <f>SUMIF(UninsLT18to64[County],MostNeedCntyTbl[[#This Row],[County]],UninsLT18to64[Adjusted 138 to 199% of FPL - Uninsured])</f>
        <v>770.37270944449745</v>
      </c>
      <c r="D16" s="73">
        <f>SUMIF(UninsLT18to64[County],MostNeedCntyTbl[[#This Row],[County]],UninsLT18to64[Adjusted 200 to 399% of FPL - Uninsured])</f>
        <v>2764.9238712338238</v>
      </c>
      <c r="E16" s="73">
        <f>SUMIF(UninsLT18to64[County],MostNeedCntyTbl[[#This Row],[County]],UninsLT18to64[Adjusted 400% FPL and over - Uninsured])</f>
        <v>1858.8600670663495</v>
      </c>
      <c r="F16" s="73">
        <f>SUMIF(UninsLT18to64[County],MostNeedCntyTbl[[#This Row],[County]],UninsLT18to64[Total])</f>
        <v>8911</v>
      </c>
      <c r="G16" s="73">
        <f>SUMIF(UninsLT18to64[County],MostNeedCntyTbl[[#This Row],[County]],UninsLT18to64[Alternate Adj. Total])</f>
        <v>7343.1642200486813</v>
      </c>
      <c r="H16" s="71">
        <f t="shared" si="0"/>
        <v>2.2070369581477831E-2</v>
      </c>
      <c r="I16" s="71">
        <f t="shared" si="1"/>
        <v>1.8187223457968669E-2</v>
      </c>
      <c r="J16" s="71">
        <f>MostNeedCntyTbl[[#This Row],[Raw Uninsured Total]]/(SUMIF(UninsuredTable[County],MostNeedCntyTbl[[#This Row],[County]],UninsuredTable[Total Population]))</f>
        <v>3.9465525793650792E-2</v>
      </c>
    </row>
    <row r="17" spans="1:10" x14ac:dyDescent="0.3">
      <c r="A17" s="4" t="s">
        <v>1038</v>
      </c>
      <c r="B17" s="73">
        <f>SUMIF(UninsLT18to64[County],MostNeedCntyTbl[[#This Row],[County]],UninsLT18to64[Adjusted Below 138% of FPL - Uninsured])</f>
        <v>2030.1443393957686</v>
      </c>
      <c r="C17" s="73">
        <f>SUMIF(UninsLT18to64[County],MostNeedCntyTbl[[#This Row],[County]],UninsLT18to64[Adjusted 138 to 199% of FPL - Uninsured])</f>
        <v>1185.3217790953518</v>
      </c>
      <c r="D17" s="73">
        <f>SUMIF(UninsLT18to64[County],MostNeedCntyTbl[[#This Row],[County]],UninsLT18to64[Adjusted 200 to 399% of FPL - Uninsured])</f>
        <v>2792.460553093521</v>
      </c>
      <c r="E17" s="73">
        <f>SUMIF(UninsLT18to64[County],MostNeedCntyTbl[[#This Row],[County]],UninsLT18to64[Adjusted 400% FPL and over - Uninsured])</f>
        <v>3046.7665648124485</v>
      </c>
      <c r="F17" s="73">
        <f>SUMIF(UninsLT18to64[County],MostNeedCntyTbl[[#This Row],[County]],UninsLT18to64[Total])</f>
        <v>14046</v>
      </c>
      <c r="G17" s="73">
        <f>SUMIF(UninsLT18to64[County],MostNeedCntyTbl[[#This Row],[County]],UninsLT18to64[Alternate Adj. Total])</f>
        <v>9054.6932363970882</v>
      </c>
      <c r="H17" s="71">
        <f t="shared" si="0"/>
        <v>3.4788509835196678E-2</v>
      </c>
      <c r="I17" s="71">
        <f t="shared" si="1"/>
        <v>2.2426262616338385E-2</v>
      </c>
      <c r="J17" s="71">
        <f>MostNeedCntyTbl[[#This Row],[Raw Uninsured Total]]/(SUMIF(UninsuredTable[County],MostNeedCntyTbl[[#This Row],[County]],UninsuredTable[Total Population]))</f>
        <v>4.9020189505645032E-2</v>
      </c>
    </row>
    <row r="18" spans="1:10" x14ac:dyDescent="0.3">
      <c r="A18" s="2" t="s">
        <v>1131</v>
      </c>
      <c r="B18" s="73">
        <f>SUMIF(UninsLT18to64[County],MostNeedCntyTbl[[#This Row],[County]],UninsLT18to64[Adjusted Below 138% of FPL - Uninsured])</f>
        <v>277</v>
      </c>
      <c r="C18" s="73">
        <f>SUMIF(UninsLT18to64[County],MostNeedCntyTbl[[#This Row],[County]],UninsLT18to64[Adjusted 138 to 199% of FPL - Uninsured])</f>
        <v>87</v>
      </c>
      <c r="D18" s="73">
        <f>SUMIF(UninsLT18to64[County],MostNeedCntyTbl[[#This Row],[County]],UninsLT18to64[Adjusted 200 to 399% of FPL - Uninsured])</f>
        <v>244</v>
      </c>
      <c r="E18" s="73">
        <f>SUMIF(UninsLT18to64[County],MostNeedCntyTbl[[#This Row],[County]],UninsLT18to64[Adjusted 400% FPL and over - Uninsured])</f>
        <v>184</v>
      </c>
      <c r="F18" s="73">
        <f>SUMIF(UninsLT18to64[County],MostNeedCntyTbl[[#This Row],[County]],UninsLT18to64[Total])</f>
        <v>792</v>
      </c>
      <c r="G18" s="73">
        <f>SUMIF(UninsLT18to64[County],MostNeedCntyTbl[[#This Row],[County]],UninsLT18to64[Alternate Adj. Total])</f>
        <v>792</v>
      </c>
      <c r="H18" s="71">
        <f t="shared" si="0"/>
        <v>1.9615904734070744E-3</v>
      </c>
      <c r="I18" s="71">
        <f t="shared" si="1"/>
        <v>1.9615904734070744E-3</v>
      </c>
      <c r="J18" s="71">
        <f>MostNeedCntyTbl[[#This Row],[Raw Uninsured Total]]/(SUMIF(UninsuredTable[County],MostNeedCntyTbl[[#This Row],[County]],UninsuredTable[Total Population]))</f>
        <v>5.6518946692357096E-2</v>
      </c>
    </row>
    <row r="19" spans="1:10" x14ac:dyDescent="0.3">
      <c r="A19" s="4" t="s">
        <v>991</v>
      </c>
      <c r="B19" s="73">
        <f>SUMIF(UninsLT18to64[County],MostNeedCntyTbl[[#This Row],[County]],UninsLT18to64[Adjusted Below 138% of FPL - Uninsured])</f>
        <v>10495.755106599876</v>
      </c>
      <c r="C19" s="73">
        <f>SUMIF(UninsLT18to64[County],MostNeedCntyTbl[[#This Row],[County]],UninsLT18to64[Adjusted 138 to 199% of FPL - Uninsured])</f>
        <v>7840.9683990123758</v>
      </c>
      <c r="D19" s="73">
        <f>SUMIF(UninsLT18to64[County],MostNeedCntyTbl[[#This Row],[County]],UninsLT18to64[Adjusted 200 to 399% of FPL - Uninsured])</f>
        <v>14355.46598003024</v>
      </c>
      <c r="E19" s="73">
        <f>SUMIF(UninsLT18to64[County],MostNeedCntyTbl[[#This Row],[County]],UninsLT18to64[Adjusted 400% FPL and over - Uninsured])</f>
        <v>9777.3492183676317</v>
      </c>
      <c r="F19" s="73">
        <f>SUMIF(UninsLT18to64[County],MostNeedCntyTbl[[#This Row],[County]],UninsLT18to64[Total])</f>
        <v>85356</v>
      </c>
      <c r="G19" s="73">
        <f>SUMIF(UninsLT18to64[County],MostNeedCntyTbl[[#This Row],[County]],UninsLT18to64[Alternate Adj. Total])</f>
        <v>42469.538704010127</v>
      </c>
      <c r="H19" s="71">
        <f t="shared" si="0"/>
        <v>0.21140595511128063</v>
      </c>
      <c r="I19" s="71">
        <f t="shared" si="1"/>
        <v>0.1051866698633577</v>
      </c>
      <c r="J19" s="71">
        <f>MostNeedCntyTbl[[#This Row],[Raw Uninsured Total]]/(SUMIF(UninsuredTable[County],MostNeedCntyTbl[[#This Row],[County]],UninsuredTable[Total Population]))</f>
        <v>8.5079152437966862E-2</v>
      </c>
    </row>
    <row r="20" spans="1:10" x14ac:dyDescent="0.3">
      <c r="A20" s="2" t="s">
        <v>989</v>
      </c>
      <c r="B20" s="73">
        <f>SUMIF(UninsLT18to64[County],MostNeedCntyTbl[[#This Row],[County]],UninsLT18to64[Adjusted Below 138% of FPL - Uninsured])</f>
        <v>13018.859097716948</v>
      </c>
      <c r="C20" s="73">
        <f>SUMIF(UninsLT18to64[County],MostNeedCntyTbl[[#This Row],[County]],UninsLT18to64[Adjusted 138 to 199% of FPL - Uninsured])</f>
        <v>7832.4399635496766</v>
      </c>
      <c r="D20" s="73">
        <f>SUMIF(UninsLT18to64[County],MostNeedCntyTbl[[#This Row],[County]],UninsLT18to64[Adjusted 200 to 399% of FPL - Uninsured])</f>
        <v>19223.291368551712</v>
      </c>
      <c r="E20" s="73">
        <f>SUMIF(UninsLT18to64[County],MostNeedCntyTbl[[#This Row],[County]],UninsLT18to64[Adjusted 400% FPL and over - Uninsured])</f>
        <v>12190.505811772686</v>
      </c>
      <c r="F20" s="73">
        <f>SUMIF(UninsLT18to64[County],MostNeedCntyTbl[[#This Row],[County]],UninsLT18to64[Total])</f>
        <v>101323</v>
      </c>
      <c r="G20" s="73">
        <f>SUMIF(UninsLT18to64[County],MostNeedCntyTbl[[#This Row],[County]],UninsLT18to64[Alternate Adj. Total])</f>
        <v>52265.096241591018</v>
      </c>
      <c r="H20" s="71">
        <f t="shared" si="0"/>
        <v>0.25095231254674877</v>
      </c>
      <c r="I20" s="71">
        <f t="shared" si="1"/>
        <v>0.1294478723222334</v>
      </c>
      <c r="J20" s="71">
        <f>MostNeedCntyTbl[[#This Row],[Raw Uninsured Total]]/(SUMIF(UninsuredTable[County],MostNeedCntyTbl[[#This Row],[County]],UninsuredTable[Total Population]))</f>
        <v>0.11658274920953438</v>
      </c>
    </row>
    <row r="21" spans="1:10" x14ac:dyDescent="0.3">
      <c r="A21" s="4" t="s">
        <v>1141</v>
      </c>
      <c r="B21" s="73">
        <f>SUMIF(UninsLT18to64[County],MostNeedCntyTbl[[#This Row],[County]],UninsLT18to64[Adjusted Below 138% of FPL - Uninsured])</f>
        <v>91</v>
      </c>
      <c r="C21" s="73">
        <f>SUMIF(UninsLT18to64[County],MostNeedCntyTbl[[#This Row],[County]],UninsLT18to64[Adjusted 138 to 199% of FPL - Uninsured])</f>
        <v>447</v>
      </c>
      <c r="D21" s="73">
        <f>SUMIF(UninsLT18to64[County],MostNeedCntyTbl[[#This Row],[County]],UninsLT18to64[Adjusted 200 to 399% of FPL - Uninsured])</f>
        <v>388</v>
      </c>
      <c r="E21" s="73">
        <f>SUMIF(UninsLT18to64[County],MostNeedCntyTbl[[#This Row],[County]],UninsLT18to64[Adjusted 400% FPL and over - Uninsured])</f>
        <v>253</v>
      </c>
      <c r="F21" s="73">
        <f>SUMIF(UninsLT18to64[County],MostNeedCntyTbl[[#This Row],[County]],UninsLT18to64[Total])</f>
        <v>1179</v>
      </c>
      <c r="G21" s="73">
        <f>SUMIF(UninsLT18to64[County],MostNeedCntyTbl[[#This Row],[County]],UninsLT18to64[Alternate Adj. Total])</f>
        <v>1179</v>
      </c>
      <c r="H21" s="71">
        <f t="shared" si="0"/>
        <v>2.9200949092764404E-3</v>
      </c>
      <c r="I21" s="71">
        <f t="shared" si="1"/>
        <v>2.9200949092764404E-3</v>
      </c>
      <c r="J21" s="71">
        <f>MostNeedCntyTbl[[#This Row],[Raw Uninsured Total]]/(SUMIF(UninsuredTable[County],MostNeedCntyTbl[[#This Row],[County]],UninsuredTable[Total Population]))</f>
        <v>3.6682119411343764E-2</v>
      </c>
    </row>
    <row r="22" spans="1:10" x14ac:dyDescent="0.3">
      <c r="A22" s="2" t="s">
        <v>1053</v>
      </c>
      <c r="B22" s="73">
        <f>SUMIF(UninsLT18to64[County],MostNeedCntyTbl[[#This Row],[County]],UninsLT18to64[Adjusted Below 138% of FPL - Uninsured])</f>
        <v>1144.5644690125057</v>
      </c>
      <c r="C22" s="73">
        <f>SUMIF(UninsLT18to64[County],MostNeedCntyTbl[[#This Row],[County]],UninsLT18to64[Adjusted 138 to 199% of FPL - Uninsured])</f>
        <v>521.51447357937195</v>
      </c>
      <c r="D22" s="73">
        <f>SUMIF(UninsLT18to64[County],MostNeedCntyTbl[[#This Row],[County]],UninsLT18to64[Adjusted 200 to 399% of FPL - Uninsured])</f>
        <v>2143.6345716923397</v>
      </c>
      <c r="E22" s="73">
        <f>SUMIF(UninsLT18to64[County],MostNeedCntyTbl[[#This Row],[County]],UninsLT18to64[Adjusted 400% FPL and over - Uninsured])</f>
        <v>1211.7970224214409</v>
      </c>
      <c r="F22" s="73">
        <f>SUMIF(UninsLT18to64[County],MostNeedCntyTbl[[#This Row],[County]],UninsLT18to64[Total])</f>
        <v>6005</v>
      </c>
      <c r="G22" s="73">
        <f>SUMIF(UninsLT18to64[County],MostNeedCntyTbl[[#This Row],[County]],UninsLT18to64[Alternate Adj. Total])</f>
        <v>5021.5105367056585</v>
      </c>
      <c r="H22" s="71">
        <f t="shared" si="0"/>
        <v>1.487291766768874E-2</v>
      </c>
      <c r="I22" s="71">
        <f t="shared" si="1"/>
        <v>1.2437054584488719E-2</v>
      </c>
      <c r="J22" s="71">
        <f>MostNeedCntyTbl[[#This Row],[Raw Uninsured Total]]/(SUMIF(UninsuredTable[County],MostNeedCntyTbl[[#This Row],[County]],UninsuredTable[Total Population]))</f>
        <v>6.2800012549544551E-2</v>
      </c>
    </row>
    <row r="23" spans="1:10" x14ac:dyDescent="0.3">
      <c r="A23" s="4" t="s">
        <v>1108</v>
      </c>
      <c r="B23" s="73">
        <f>SUMIF(UninsLT18to64[County],MostNeedCntyTbl[[#This Row],[County]],UninsLT18to64[Adjusted Below 138% of FPL - Uninsured])</f>
        <v>309</v>
      </c>
      <c r="C23" s="73">
        <f>SUMIF(UninsLT18to64[County],MostNeedCntyTbl[[#This Row],[County]],UninsLT18to64[Adjusted 138 to 199% of FPL - Uninsured])</f>
        <v>257</v>
      </c>
      <c r="D23" s="73">
        <f>SUMIF(UninsLT18to64[County],MostNeedCntyTbl[[#This Row],[County]],UninsLT18to64[Adjusted 200 to 399% of FPL - Uninsured])</f>
        <v>347</v>
      </c>
      <c r="E23" s="73">
        <f>SUMIF(UninsLT18to64[County],MostNeedCntyTbl[[#This Row],[County]],UninsLT18to64[Adjusted 400% FPL and over - Uninsured])</f>
        <v>158</v>
      </c>
      <c r="F23" s="73">
        <f>SUMIF(UninsLT18to64[County],MostNeedCntyTbl[[#This Row],[County]],UninsLT18to64[Total])</f>
        <v>1071</v>
      </c>
      <c r="G23" s="73">
        <f>SUMIF(UninsLT18to64[County],MostNeedCntyTbl[[#This Row],[County]],UninsLT18to64[Alternate Adj. Total])</f>
        <v>1071</v>
      </c>
      <c r="H23" s="71">
        <f t="shared" si="0"/>
        <v>2.6526052992663848E-3</v>
      </c>
      <c r="I23" s="71">
        <f t="shared" si="1"/>
        <v>2.6526052992663848E-3</v>
      </c>
      <c r="J23" s="71">
        <f>MostNeedCntyTbl[[#This Row],[Raw Uninsured Total]]/(SUMIF(UninsuredTable[County],MostNeedCntyTbl[[#This Row],[County]],UninsuredTable[Total Population]))</f>
        <v>7.8947368421052627E-2</v>
      </c>
    </row>
    <row r="24" spans="1:10" x14ac:dyDescent="0.3">
      <c r="A24" s="2" t="s">
        <v>1057</v>
      </c>
      <c r="B24" s="73">
        <f>SUMIF(UninsLT18to64[County],MostNeedCntyTbl[[#This Row],[County]],UninsLT18to64[Adjusted Below 138% of FPL - Uninsured])</f>
        <v>284.51344604957683</v>
      </c>
      <c r="C24" s="73">
        <f>SUMIF(UninsLT18to64[County],MostNeedCntyTbl[[#This Row],[County]],UninsLT18to64[Adjusted 138 to 199% of FPL - Uninsured])</f>
        <v>289.54908226284368</v>
      </c>
      <c r="D24" s="73">
        <f>SUMIF(UninsLT18to64[County],MostNeedCntyTbl[[#This Row],[County]],UninsLT18to64[Adjusted 200 to 399% of FPL - Uninsured])</f>
        <v>224.71526601703303</v>
      </c>
      <c r="E24" s="73">
        <f>SUMIF(UninsLT18to64[County],MostNeedCntyTbl[[#This Row],[County]],UninsLT18to64[Adjusted 400% FPL and over - Uninsured])</f>
        <v>191.35417610414018</v>
      </c>
      <c r="F24" s="73">
        <f>SUMIF(UninsLT18to64[County],MostNeedCntyTbl[[#This Row],[County]],UninsLT18to64[Total])</f>
        <v>1573</v>
      </c>
      <c r="G24" s="73">
        <f>SUMIF(UninsLT18to64[County],MostNeedCntyTbl[[#This Row],[County]],UninsLT18to64[Alternate Adj. Total])</f>
        <v>990.13197043359378</v>
      </c>
      <c r="H24" s="71">
        <f t="shared" si="0"/>
        <v>3.8959366346834954E-3</v>
      </c>
      <c r="I24" s="71">
        <f t="shared" si="1"/>
        <v>2.4523149502756474E-3</v>
      </c>
      <c r="J24" s="71">
        <f>MostNeedCntyTbl[[#This Row],[Raw Uninsured Total]]/(SUMIF(UninsuredTable[County],MostNeedCntyTbl[[#This Row],[County]],UninsuredTable[Total Population]))</f>
        <v>6.6734546688727678E-2</v>
      </c>
    </row>
    <row r="25" spans="1:10" x14ac:dyDescent="0.3">
      <c r="A25" s="4" t="s">
        <v>999</v>
      </c>
      <c r="B25" s="73">
        <f>SUMIF(UninsLT18to64[County],MostNeedCntyTbl[[#This Row],[County]],UninsLT18to64[Adjusted Below 138% of FPL - Uninsured])</f>
        <v>2060.4610953069168</v>
      </c>
      <c r="C25" s="73">
        <f>SUMIF(UninsLT18to64[County],MostNeedCntyTbl[[#This Row],[County]],UninsLT18to64[Adjusted 138 to 199% of FPL - Uninsured])</f>
        <v>1471.704416496696</v>
      </c>
      <c r="D25" s="73">
        <f>SUMIF(UninsLT18to64[County],MostNeedCntyTbl[[#This Row],[County]],UninsLT18to64[Adjusted 200 to 399% of FPL - Uninsured])</f>
        <v>2351.9347882067495</v>
      </c>
      <c r="E25" s="73">
        <f>SUMIF(UninsLT18to64[County],MostNeedCntyTbl[[#This Row],[County]],UninsLT18to64[Adjusted 400% FPL and over - Uninsured])</f>
        <v>1289.5973764585356</v>
      </c>
      <c r="F25" s="73">
        <f>SUMIF(UninsLT18to64[County],MostNeedCntyTbl[[#This Row],[County]],UninsLT18to64[Total])</f>
        <v>8943</v>
      </c>
      <c r="G25" s="73">
        <f>SUMIF(UninsLT18to64[County],MostNeedCntyTbl[[#This Row],[County]],UninsLT18to64[Alternate Adj. Total])</f>
        <v>7173.697676468898</v>
      </c>
      <c r="H25" s="71">
        <f t="shared" si="0"/>
        <v>2.2149625762221552E-2</v>
      </c>
      <c r="I25" s="71">
        <f t="shared" si="1"/>
        <v>1.7767496238969515E-2</v>
      </c>
      <c r="J25" s="71">
        <f>MostNeedCntyTbl[[#This Row],[Raw Uninsured Total]]/(SUMIF(UninsuredTable[County],MostNeedCntyTbl[[#This Row],[County]],UninsuredTable[Total Population]))</f>
        <v>7.2845308592699998E-2</v>
      </c>
    </row>
    <row r="26" spans="1:10" x14ac:dyDescent="0.3">
      <c r="A26" s="2" t="s">
        <v>1021</v>
      </c>
      <c r="B26" s="73">
        <f>SUMIF(UninsLT18to64[County],MostNeedCntyTbl[[#This Row],[County]],UninsLT18to64[Adjusted Below 138% of FPL - Uninsured])</f>
        <v>1518.0535479292851</v>
      </c>
      <c r="C26" s="73">
        <f>SUMIF(UninsLT18to64[County],MostNeedCntyTbl[[#This Row],[County]],UninsLT18to64[Adjusted 138 to 199% of FPL - Uninsured])</f>
        <v>628.69993533568856</v>
      </c>
      <c r="D26" s="73">
        <f>SUMIF(UninsLT18to64[County],MostNeedCntyTbl[[#This Row],[County]],UninsLT18to64[Adjusted 200 to 399% of FPL - Uninsured])</f>
        <v>1732.799418434337</v>
      </c>
      <c r="E26" s="73">
        <f>SUMIF(UninsLT18to64[County],MostNeedCntyTbl[[#This Row],[County]],UninsLT18to64[Adjusted 400% FPL and over - Uninsured])</f>
        <v>914.5263309029549</v>
      </c>
      <c r="F26" s="73">
        <f>SUMIF(UninsLT18to64[County],MostNeedCntyTbl[[#This Row],[County]],UninsLT18to64[Total])</f>
        <v>6983</v>
      </c>
      <c r="G26" s="73">
        <f>SUMIF(UninsLT18to64[County],MostNeedCntyTbl[[#This Row],[County]],UninsLT18to64[Alternate Adj. Total])</f>
        <v>4794.0792326022656</v>
      </c>
      <c r="H26" s="71">
        <f t="shared" si="0"/>
        <v>1.7295184691668689E-2</v>
      </c>
      <c r="I26" s="71">
        <f t="shared" si="1"/>
        <v>1.1873762817463766E-2</v>
      </c>
      <c r="J26" s="71">
        <f>MostNeedCntyTbl[[#This Row],[Raw Uninsured Total]]/(SUMIF(UninsuredTable[County],MostNeedCntyTbl[[#This Row],[County]],UninsuredTable[Total Population]))</f>
        <v>8.8539223268964989E-2</v>
      </c>
    </row>
    <row r="27" spans="1:10" x14ac:dyDescent="0.3">
      <c r="A27" s="4" t="s">
        <v>1062</v>
      </c>
      <c r="B27" s="73">
        <f>SUMIF(UninsLT18to64[County],MostNeedCntyTbl[[#This Row],[County]],UninsLT18to64[Adjusted Below 138% of FPL - Uninsured])</f>
        <v>907.96000354380976</v>
      </c>
      <c r="C27" s="73">
        <f>SUMIF(UninsLT18to64[County],MostNeedCntyTbl[[#This Row],[County]],UninsLT18to64[Adjusted 138 to 199% of FPL - Uninsured])</f>
        <v>437.37542620109173</v>
      </c>
      <c r="D27" s="73">
        <f>SUMIF(UninsLT18to64[County],MostNeedCntyTbl[[#This Row],[County]],UninsLT18to64[Adjusted 200 to 399% of FPL - Uninsured])</f>
        <v>993.70585638896932</v>
      </c>
      <c r="E27" s="73">
        <f>SUMIF(UninsLT18to64[County],MostNeedCntyTbl[[#This Row],[County]],UninsLT18to64[Adjusted 400% FPL and over - Uninsured])</f>
        <v>936.92553662740659</v>
      </c>
      <c r="F27" s="73">
        <f>SUMIF(UninsLT18to64[County],MostNeedCntyTbl[[#This Row],[County]],UninsLT18to64[Total])</f>
        <v>3630</v>
      </c>
      <c r="G27" s="73">
        <f>SUMIF(UninsLT18to64[County],MostNeedCntyTbl[[#This Row],[County]],UninsLT18to64[Alternate Adj. Total])</f>
        <v>3275.9668227612774</v>
      </c>
      <c r="H27" s="71">
        <f t="shared" si="0"/>
        <v>8.9906230031157591E-3</v>
      </c>
      <c r="I27" s="71">
        <f t="shared" si="1"/>
        <v>8.1137693317249546E-3</v>
      </c>
      <c r="J27" s="71">
        <f>MostNeedCntyTbl[[#This Row],[Raw Uninsured Total]]/(SUMIF(UninsuredTable[County],MostNeedCntyTbl[[#This Row],[County]],UninsuredTable[Total Population]))</f>
        <v>7.7096253504375156E-2</v>
      </c>
    </row>
    <row r="28" spans="1:10" x14ac:dyDescent="0.3">
      <c r="A28" s="26" t="s">
        <v>1416</v>
      </c>
      <c r="B28" s="73">
        <f>SUBTOTAL(109,MostNeedCntyTbl[Below 138% of FPL - Uninsured])</f>
        <v>68813.784480123199</v>
      </c>
      <c r="C28" s="73">
        <f>SUBTOTAL(109,MostNeedCntyTbl[138 to 199% of FPL - Uninsured])</f>
        <v>40314.92372854182</v>
      </c>
      <c r="D28" s="73">
        <f>SUBTOTAL(109,MostNeedCntyTbl[200 to 399% of FPL - Uninsured])</f>
        <v>85722.382503244022</v>
      </c>
      <c r="E28" s="73">
        <f>SUBTOTAL(109,MostNeedCntyTbl[400% FPL and over - Uninsured])</f>
        <v>57160.038557427681</v>
      </c>
      <c r="F28" s="73">
        <f>SUBTOTAL(109,MostNeedCntyTbl[Raw Uninsured Total])</f>
        <v>403754</v>
      </c>
      <c r="G28" s="73">
        <f>SUBTOTAL(109,MostNeedCntyTbl[Alternate Adj. Total])</f>
        <v>252011.12926933676</v>
      </c>
      <c r="H28" s="71"/>
      <c r="I28" s="71"/>
    </row>
  </sheetData>
  <mergeCells count="1">
    <mergeCell ref="A1:E1"/>
  </mergeCells>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
  <sheetViews>
    <sheetView workbookViewId="0">
      <selection activeCell="B8" sqref="B8"/>
    </sheetView>
  </sheetViews>
  <sheetFormatPr defaultRowHeight="14.4" x14ac:dyDescent="0.3"/>
  <cols>
    <col min="1" max="1" width="12.5546875" bestFit="1" customWidth="1"/>
    <col min="2" max="2" width="24.109375" bestFit="1" customWidth="1"/>
    <col min="5" max="5" width="12.5546875" customWidth="1"/>
    <col min="6" max="6" width="42.109375" customWidth="1"/>
    <col min="7" max="9" width="42.21875" customWidth="1"/>
    <col min="10" max="10" width="42.109375" customWidth="1"/>
    <col min="11" max="40" width="6" customWidth="1"/>
    <col min="41" max="41" width="10.77734375" bestFit="1" customWidth="1"/>
  </cols>
  <sheetData>
    <row r="1" spans="1:15" ht="82.8" customHeight="1" x14ac:dyDescent="0.3">
      <c r="A1" s="129" t="s">
        <v>1510</v>
      </c>
      <c r="B1" s="129"/>
      <c r="C1" s="129"/>
      <c r="D1" s="129"/>
      <c r="E1" s="129"/>
      <c r="F1" s="129"/>
      <c r="G1" s="129"/>
      <c r="H1" s="78"/>
      <c r="I1" s="78"/>
      <c r="J1" s="78"/>
      <c r="K1" s="78"/>
      <c r="L1" s="78"/>
      <c r="M1" s="78"/>
      <c r="N1" s="78"/>
      <c r="O1" s="78"/>
    </row>
    <row r="2" spans="1:15" ht="18" x14ac:dyDescent="0.3">
      <c r="A2" s="79" t="s">
        <v>987</v>
      </c>
      <c r="B2" t="s">
        <v>1514</v>
      </c>
      <c r="C2" s="55"/>
      <c r="D2" s="55"/>
      <c r="E2" s="79" t="s">
        <v>987</v>
      </c>
      <c r="F2" t="s">
        <v>992</v>
      </c>
      <c r="G2" s="55"/>
      <c r="H2" s="55"/>
      <c r="I2" s="55"/>
      <c r="J2" s="55"/>
      <c r="K2" s="55"/>
      <c r="L2" s="55"/>
      <c r="M2" s="55"/>
      <c r="N2" s="55"/>
      <c r="O2" s="55"/>
    </row>
    <row r="4" spans="1:15" x14ac:dyDescent="0.3">
      <c r="A4" s="79" t="s">
        <v>1511</v>
      </c>
      <c r="B4" t="s">
        <v>1513</v>
      </c>
      <c r="E4" s="79" t="s">
        <v>1511</v>
      </c>
      <c r="F4" t="s">
        <v>1541</v>
      </c>
      <c r="G4" t="s">
        <v>1542</v>
      </c>
      <c r="H4" t="s">
        <v>1543</v>
      </c>
      <c r="I4" t="s">
        <v>1544</v>
      </c>
    </row>
    <row r="5" spans="1:15" x14ac:dyDescent="0.3">
      <c r="A5" s="80">
        <v>21801</v>
      </c>
      <c r="B5" s="81">
        <v>1789.8518638718706</v>
      </c>
      <c r="E5" s="80">
        <v>21030</v>
      </c>
      <c r="F5" s="81">
        <v>498.30337887367193</v>
      </c>
      <c r="G5" s="81">
        <v>243.44592555660307</v>
      </c>
      <c r="H5" s="81">
        <v>445.04958265816504</v>
      </c>
      <c r="I5" s="81">
        <v>282.75229895376293</v>
      </c>
    </row>
    <row r="6" spans="1:15" x14ac:dyDescent="0.3">
      <c r="A6" s="80">
        <v>21804</v>
      </c>
      <c r="B6" s="81">
        <v>2235.2145097713524</v>
      </c>
      <c r="E6" s="80">
        <v>21053</v>
      </c>
      <c r="F6" s="81">
        <v>70</v>
      </c>
      <c r="G6" s="81">
        <v>0</v>
      </c>
      <c r="H6" s="81">
        <v>199.99999999999997</v>
      </c>
      <c r="I6" s="81">
        <v>117</v>
      </c>
    </row>
    <row r="7" spans="1:15" x14ac:dyDescent="0.3">
      <c r="A7" s="80">
        <v>21811</v>
      </c>
      <c r="B7" s="81">
        <v>1181.3879753911417</v>
      </c>
      <c r="E7" s="80">
        <v>21093</v>
      </c>
      <c r="F7" s="81">
        <v>185.28784438806647</v>
      </c>
      <c r="G7" s="81">
        <v>113.44153738044886</v>
      </c>
      <c r="H7" s="81">
        <v>254.86532064807511</v>
      </c>
      <c r="I7" s="81">
        <v>231.42073625611567</v>
      </c>
    </row>
    <row r="8" spans="1:15" x14ac:dyDescent="0.3">
      <c r="A8" s="80">
        <v>21817</v>
      </c>
      <c r="B8" s="81">
        <v>397</v>
      </c>
      <c r="E8" s="80">
        <v>21117</v>
      </c>
      <c r="F8" s="81">
        <v>749.61393572058364</v>
      </c>
      <c r="G8" s="81">
        <v>419.11115646845406</v>
      </c>
      <c r="H8" s="81">
        <v>1296.7868344432875</v>
      </c>
      <c r="I8" s="81">
        <v>431.39990951305373</v>
      </c>
    </row>
    <row r="9" spans="1:15" x14ac:dyDescent="0.3">
      <c r="A9" s="80">
        <v>21822</v>
      </c>
      <c r="B9" s="81">
        <v>440</v>
      </c>
      <c r="E9" s="80">
        <v>21133</v>
      </c>
      <c r="F9" s="81">
        <v>247.42211780526446</v>
      </c>
      <c r="G9" s="81">
        <v>175.22599832409307</v>
      </c>
      <c r="H9" s="81">
        <v>454.23391840237002</v>
      </c>
      <c r="I9" s="81">
        <v>306.08146488371619</v>
      </c>
    </row>
    <row r="10" spans="1:15" x14ac:dyDescent="0.3">
      <c r="A10" s="80">
        <v>21826</v>
      </c>
      <c r="B10" s="81">
        <v>548</v>
      </c>
      <c r="E10" s="80">
        <v>21136</v>
      </c>
      <c r="F10" s="81">
        <v>636.91337816090424</v>
      </c>
      <c r="G10" s="81">
        <v>300.24934871231409</v>
      </c>
      <c r="H10" s="81">
        <v>573.70298895831183</v>
      </c>
      <c r="I10" s="81">
        <v>390.2554463812229</v>
      </c>
    </row>
    <row r="11" spans="1:15" x14ac:dyDescent="0.3">
      <c r="A11" s="80">
        <v>21842</v>
      </c>
      <c r="B11" s="81">
        <v>767</v>
      </c>
      <c r="E11" s="80">
        <v>21152</v>
      </c>
      <c r="F11" s="81">
        <v>25</v>
      </c>
      <c r="G11" s="81">
        <v>63</v>
      </c>
      <c r="H11" s="81">
        <v>60</v>
      </c>
      <c r="I11" s="81">
        <v>178</v>
      </c>
    </row>
    <row r="12" spans="1:15" x14ac:dyDescent="0.3">
      <c r="A12" s="80">
        <v>21851</v>
      </c>
      <c r="B12" s="81">
        <v>612</v>
      </c>
      <c r="E12" s="80">
        <v>21204</v>
      </c>
      <c r="F12" s="81">
        <v>212.99999999999997</v>
      </c>
      <c r="G12" s="81">
        <v>170</v>
      </c>
      <c r="H12" s="81">
        <v>83</v>
      </c>
      <c r="I12" s="81">
        <v>250</v>
      </c>
    </row>
    <row r="13" spans="1:15" x14ac:dyDescent="0.3">
      <c r="A13" s="80">
        <v>21853</v>
      </c>
      <c r="B13" s="81">
        <v>674</v>
      </c>
      <c r="E13" s="80">
        <v>21207</v>
      </c>
      <c r="F13" s="81">
        <v>689.82403682427866</v>
      </c>
      <c r="G13" s="81">
        <v>291.68035383690426</v>
      </c>
      <c r="H13" s="81">
        <v>1250.5795170757269</v>
      </c>
      <c r="I13" s="81">
        <v>360.95443787316901</v>
      </c>
    </row>
    <row r="14" spans="1:15" x14ac:dyDescent="0.3">
      <c r="A14" s="80">
        <v>21863</v>
      </c>
      <c r="B14" s="81">
        <v>299</v>
      </c>
      <c r="E14" s="80">
        <v>21208</v>
      </c>
      <c r="F14" s="81">
        <v>285.01576933814283</v>
      </c>
      <c r="G14" s="81">
        <v>157.78927878570499</v>
      </c>
      <c r="H14" s="81">
        <v>628.31406507460918</v>
      </c>
      <c r="I14" s="81">
        <v>137.88792830822871</v>
      </c>
    </row>
    <row r="15" spans="1:15" x14ac:dyDescent="0.3">
      <c r="A15" s="80">
        <v>21875</v>
      </c>
      <c r="B15" s="81">
        <v>693</v>
      </c>
      <c r="E15" s="80">
        <v>21219</v>
      </c>
      <c r="F15" s="81">
        <v>88</v>
      </c>
      <c r="G15" s="81">
        <v>0</v>
      </c>
      <c r="H15" s="81">
        <v>193</v>
      </c>
      <c r="I15" s="81">
        <v>103</v>
      </c>
    </row>
    <row r="16" spans="1:15" x14ac:dyDescent="0.3">
      <c r="A16" s="80" t="s">
        <v>1512</v>
      </c>
      <c r="B16" s="81">
        <v>9636.454349034364</v>
      </c>
      <c r="E16" s="80">
        <v>21220</v>
      </c>
      <c r="F16" s="81">
        <v>674.79973796657225</v>
      </c>
      <c r="G16" s="81">
        <v>442.88098744389941</v>
      </c>
      <c r="H16" s="81">
        <v>849.43735131195842</v>
      </c>
      <c r="I16" s="81">
        <v>636.37946303058732</v>
      </c>
    </row>
    <row r="17" spans="5:9" x14ac:dyDescent="0.3">
      <c r="E17" s="80">
        <v>21221</v>
      </c>
      <c r="F17" s="81">
        <v>762.90580321667528</v>
      </c>
      <c r="G17" s="81">
        <v>379.6136880036687</v>
      </c>
      <c r="H17" s="81">
        <v>1121.1846134061843</v>
      </c>
      <c r="I17" s="81">
        <v>609.14754586635206</v>
      </c>
    </row>
    <row r="18" spans="5:9" x14ac:dyDescent="0.3">
      <c r="E18" s="80">
        <v>21222</v>
      </c>
      <c r="F18" s="81">
        <v>1238.522393642884</v>
      </c>
      <c r="G18" s="81">
        <v>533.88442736201387</v>
      </c>
      <c r="H18" s="81">
        <v>999.91482834142539</v>
      </c>
      <c r="I18" s="81">
        <v>530.15618415417862</v>
      </c>
    </row>
    <row r="19" spans="5:9" x14ac:dyDescent="0.3">
      <c r="E19" s="80">
        <v>21227</v>
      </c>
      <c r="F19" s="81">
        <v>632.0832863012771</v>
      </c>
      <c r="G19" s="81">
        <v>449.11180868774949</v>
      </c>
      <c r="H19" s="81">
        <v>664.6577539067157</v>
      </c>
      <c r="I19" s="81">
        <v>315.34856937179939</v>
      </c>
    </row>
    <row r="20" spans="5:9" x14ac:dyDescent="0.3">
      <c r="E20" s="80">
        <v>21228</v>
      </c>
      <c r="F20" s="81">
        <v>486.59448755188686</v>
      </c>
      <c r="G20" s="81">
        <v>288.37879188736827</v>
      </c>
      <c r="H20" s="81">
        <v>735.61637235785247</v>
      </c>
      <c r="I20" s="81">
        <v>490.88796832440352</v>
      </c>
    </row>
    <row r="21" spans="5:9" x14ac:dyDescent="0.3">
      <c r="E21" s="80">
        <v>21234</v>
      </c>
      <c r="F21" s="81">
        <v>791.90480697153316</v>
      </c>
      <c r="G21" s="81">
        <v>571.09959141708873</v>
      </c>
      <c r="H21" s="81">
        <v>1148.9356131392283</v>
      </c>
      <c r="I21" s="81">
        <v>651.93675507769899</v>
      </c>
    </row>
    <row r="22" spans="5:9" x14ac:dyDescent="0.3">
      <c r="E22" s="80">
        <v>21236</v>
      </c>
      <c r="F22" s="81">
        <v>376.60302959792472</v>
      </c>
      <c r="G22" s="81">
        <v>149.76026907987651</v>
      </c>
      <c r="H22" s="81">
        <v>416.24545376612735</v>
      </c>
      <c r="I22" s="81">
        <v>383.21010029262516</v>
      </c>
    </row>
    <row r="23" spans="5:9" x14ac:dyDescent="0.3">
      <c r="E23" s="80">
        <v>21237</v>
      </c>
      <c r="F23" s="81">
        <v>450.16434456815733</v>
      </c>
      <c r="G23" s="81">
        <v>880.48861923893389</v>
      </c>
      <c r="H23" s="81">
        <v>439.90223944882246</v>
      </c>
      <c r="I23" s="81">
        <v>351.64813542254234</v>
      </c>
    </row>
    <row r="24" spans="5:9" x14ac:dyDescent="0.3">
      <c r="E24" s="80">
        <v>21244</v>
      </c>
      <c r="F24" s="81">
        <v>592.30588481069401</v>
      </c>
      <c r="G24" s="81">
        <v>477.44282770955476</v>
      </c>
      <c r="H24" s="81">
        <v>858.01319762296805</v>
      </c>
      <c r="I24" s="81">
        <v>265.70731281227398</v>
      </c>
    </row>
    <row r="25" spans="5:9" x14ac:dyDescent="0.3">
      <c r="E25" s="80">
        <v>21286</v>
      </c>
      <c r="F25" s="81">
        <v>263</v>
      </c>
      <c r="G25" s="81">
        <v>54</v>
      </c>
      <c r="H25" s="81">
        <v>155</v>
      </c>
      <c r="I25" s="81">
        <v>108</v>
      </c>
    </row>
    <row r="26" spans="5:9" x14ac:dyDescent="0.3">
      <c r="E26" s="80" t="s">
        <v>1512</v>
      </c>
      <c r="F26" s="81">
        <v>9957.2642357385175</v>
      </c>
      <c r="G26" s="81">
        <v>6160.6046098946763</v>
      </c>
      <c r="H26" s="81">
        <v>12828.439650561828</v>
      </c>
      <c r="I26" s="81">
        <v>7131.174256521731</v>
      </c>
    </row>
  </sheetData>
  <mergeCells count="1">
    <mergeCell ref="A1:G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N407"/>
  <sheetViews>
    <sheetView topLeftCell="D13" workbookViewId="0">
      <selection activeCell="K13" sqref="K13"/>
    </sheetView>
  </sheetViews>
  <sheetFormatPr defaultRowHeight="14.4" x14ac:dyDescent="0.3"/>
  <cols>
    <col min="1" max="1" width="10.109375" customWidth="1"/>
    <col min="2" max="2" width="27.5546875" customWidth="1"/>
    <col min="3" max="3" width="18.44140625" customWidth="1"/>
    <col min="4" max="4" width="26.5546875" customWidth="1"/>
    <col min="5" max="5" width="14.6640625" customWidth="1"/>
    <col min="6" max="6" width="40.5546875" customWidth="1"/>
    <col min="7" max="7" width="17.77734375" customWidth="1"/>
    <col min="9" max="9" width="10.109375" customWidth="1"/>
    <col min="10" max="10" width="9" customWidth="1"/>
    <col min="11" max="11" width="40.5546875" customWidth="1"/>
    <col min="14" max="14" width="17.33203125" customWidth="1"/>
  </cols>
  <sheetData>
    <row r="1" spans="1:14" x14ac:dyDescent="0.3">
      <c r="A1" t="s">
        <v>978</v>
      </c>
      <c r="B1" t="s">
        <v>1410</v>
      </c>
      <c r="C1" t="s">
        <v>1411</v>
      </c>
      <c r="D1" t="s">
        <v>1412</v>
      </c>
      <c r="E1" t="s">
        <v>1413</v>
      </c>
      <c r="F1" t="s">
        <v>1414</v>
      </c>
      <c r="G1" t="s">
        <v>1415</v>
      </c>
      <c r="I1" s="11" t="s">
        <v>978</v>
      </c>
      <c r="J1" t="s">
        <v>987</v>
      </c>
      <c r="K1" s="11" t="s">
        <v>1414</v>
      </c>
      <c r="M1" t="s">
        <v>1417</v>
      </c>
      <c r="N1" t="s">
        <v>1418</v>
      </c>
    </row>
    <row r="2" spans="1:14" x14ac:dyDescent="0.3">
      <c r="A2">
        <v>0</v>
      </c>
      <c r="B2" t="s">
        <v>1416</v>
      </c>
      <c r="C2">
        <v>2919480</v>
      </c>
      <c r="D2">
        <v>72220</v>
      </c>
      <c r="E2">
        <v>227220</v>
      </c>
      <c r="F2">
        <v>66030</v>
      </c>
      <c r="G2">
        <v>48295</v>
      </c>
      <c r="I2" s="4">
        <v>20601</v>
      </c>
      <c r="J2" t="str">
        <f>VLOOKUP(I2,ZipToCntyTbl[#All],3,0)</f>
        <v>Charles</v>
      </c>
      <c r="K2" s="4">
        <v>260</v>
      </c>
      <c r="M2" t="s">
        <v>1032</v>
      </c>
      <c r="N2">
        <f>SUMIF(IRSzipToCntyTbl[[#All],[County]],M2,IRSzipToCntyTbl[[#All],[Health care individual responsibility payment]])</f>
        <v>770</v>
      </c>
    </row>
    <row r="3" spans="1:14" x14ac:dyDescent="0.3">
      <c r="A3">
        <v>20601</v>
      </c>
      <c r="B3" t="s">
        <v>1416</v>
      </c>
      <c r="C3">
        <v>13160</v>
      </c>
      <c r="D3">
        <v>200</v>
      </c>
      <c r="E3">
        <v>590</v>
      </c>
      <c r="F3">
        <v>260</v>
      </c>
      <c r="G3">
        <v>195</v>
      </c>
      <c r="I3" s="2">
        <v>20602</v>
      </c>
      <c r="J3" t="str">
        <f>VLOOKUP(I3,ZipToCntyTbl[#All],3,0)</f>
        <v>Charles</v>
      </c>
      <c r="K3" s="2">
        <v>320</v>
      </c>
      <c r="M3" t="s">
        <v>996</v>
      </c>
      <c r="N3">
        <f>SUMIF(IRSzipToCntyTbl[[#All],[County]],M3,IRSzipToCntyTbl[[#All],[Health care individual responsibility payment]])</f>
        <v>5340</v>
      </c>
    </row>
    <row r="4" spans="1:14" x14ac:dyDescent="0.3">
      <c r="A4">
        <v>20602</v>
      </c>
      <c r="B4" t="s">
        <v>1416</v>
      </c>
      <c r="C4">
        <v>13280</v>
      </c>
      <c r="D4">
        <v>220</v>
      </c>
      <c r="E4">
        <v>609</v>
      </c>
      <c r="F4">
        <v>320</v>
      </c>
      <c r="G4">
        <v>222</v>
      </c>
      <c r="I4" s="4">
        <v>20603</v>
      </c>
      <c r="J4" t="str">
        <f>VLOOKUP(I4,ZipToCntyTbl[#All],3,0)</f>
        <v>Charles</v>
      </c>
      <c r="K4" s="4">
        <v>240</v>
      </c>
      <c r="M4" t="s">
        <v>992</v>
      </c>
      <c r="N4">
        <f>SUMIF(IRSzipToCntyTbl[[#All],[County]],M4,IRSzipToCntyTbl[[#All],[Health care individual responsibility payment]])</f>
        <v>8280</v>
      </c>
    </row>
    <row r="5" spans="1:14" x14ac:dyDescent="0.3">
      <c r="A5">
        <v>20603</v>
      </c>
      <c r="B5" t="s">
        <v>1416</v>
      </c>
      <c r="C5">
        <v>15370</v>
      </c>
      <c r="D5">
        <v>250</v>
      </c>
      <c r="E5">
        <v>774</v>
      </c>
      <c r="F5">
        <v>240</v>
      </c>
      <c r="G5">
        <v>185</v>
      </c>
      <c r="I5" s="2">
        <v>20606</v>
      </c>
      <c r="J5" t="str">
        <f>VLOOKUP(I5,ZipToCntyTbl[#All],3,0)</f>
        <v>Saint Marys</v>
      </c>
      <c r="K5" s="2">
        <v>0</v>
      </c>
      <c r="M5" t="s">
        <v>993</v>
      </c>
      <c r="N5">
        <f>SUMIF(IRSzipToCntyTbl[[#All],[County]],M5,IRSzipToCntyTbl[[#All],[Health care individual responsibility payment]])</f>
        <v>6480</v>
      </c>
    </row>
    <row r="6" spans="1:14" x14ac:dyDescent="0.3">
      <c r="A6">
        <v>20606</v>
      </c>
      <c r="B6" t="s">
        <v>1416</v>
      </c>
      <c r="C6">
        <v>150</v>
      </c>
      <c r="D6">
        <v>0</v>
      </c>
      <c r="E6">
        <v>0</v>
      </c>
      <c r="F6">
        <v>0</v>
      </c>
      <c r="G6">
        <v>0</v>
      </c>
      <c r="I6" s="4">
        <v>20607</v>
      </c>
      <c r="J6" t="str">
        <f>VLOOKUP(I6,ZipToCntyTbl[#All],3,0)</f>
        <v>Prince Georges</v>
      </c>
      <c r="K6" s="4">
        <v>100</v>
      </c>
      <c r="M6" t="s">
        <v>1055</v>
      </c>
      <c r="N6">
        <f>SUMIF(IRSzipToCntyTbl[[#All],[County]],M6,IRSzipToCntyTbl[[#All],[Health care individual responsibility payment]])</f>
        <v>760</v>
      </c>
    </row>
    <row r="7" spans="1:14" x14ac:dyDescent="0.3">
      <c r="A7">
        <v>20607</v>
      </c>
      <c r="B7" t="s">
        <v>1416</v>
      </c>
      <c r="C7">
        <v>6110</v>
      </c>
      <c r="D7">
        <v>70</v>
      </c>
      <c r="E7">
        <v>238</v>
      </c>
      <c r="F7">
        <v>100</v>
      </c>
      <c r="G7">
        <v>73</v>
      </c>
      <c r="I7" s="2">
        <v>20608</v>
      </c>
      <c r="J7" t="str">
        <f>VLOOKUP(I7,ZipToCntyTbl[#All],3,0)</f>
        <v>Prince Georges</v>
      </c>
      <c r="K7" s="2">
        <v>0</v>
      </c>
      <c r="M7" t="s">
        <v>1095</v>
      </c>
      <c r="N7">
        <f>SUMIF(IRSzipToCntyTbl[[#All],[County]],M7,IRSzipToCntyTbl[[#All],[Health care individual responsibility payment]])</f>
        <v>440</v>
      </c>
    </row>
    <row r="8" spans="1:14" x14ac:dyDescent="0.3">
      <c r="A8">
        <v>20608</v>
      </c>
      <c r="B8" t="s">
        <v>1416</v>
      </c>
      <c r="C8">
        <v>410</v>
      </c>
      <c r="D8">
        <v>0</v>
      </c>
      <c r="E8">
        <v>0</v>
      </c>
      <c r="F8">
        <v>0</v>
      </c>
      <c r="G8">
        <v>0</v>
      </c>
      <c r="I8" s="4">
        <v>20609</v>
      </c>
      <c r="J8" t="str">
        <f>VLOOKUP(I8,ZipToCntyTbl[#All],3,0)</f>
        <v>Saint Marys</v>
      </c>
      <c r="K8" s="4">
        <v>0</v>
      </c>
      <c r="M8" t="s">
        <v>1041</v>
      </c>
      <c r="N8">
        <f>SUMIF(IRSzipToCntyTbl[[#All],[County]],M8,IRSzipToCntyTbl[[#All],[Health care individual responsibility payment]])</f>
        <v>1400</v>
      </c>
    </row>
    <row r="9" spans="1:14" x14ac:dyDescent="0.3">
      <c r="A9">
        <v>20609</v>
      </c>
      <c r="B9" t="s">
        <v>1416</v>
      </c>
      <c r="C9">
        <v>550</v>
      </c>
      <c r="D9">
        <v>0</v>
      </c>
      <c r="E9">
        <v>0</v>
      </c>
      <c r="F9">
        <v>0</v>
      </c>
      <c r="G9">
        <v>0</v>
      </c>
      <c r="I9" s="2">
        <v>20611</v>
      </c>
      <c r="J9" t="str">
        <f>VLOOKUP(I9,ZipToCntyTbl[#All],3,0)</f>
        <v>Charles</v>
      </c>
      <c r="K9" s="2">
        <v>0</v>
      </c>
      <c r="M9" t="s">
        <v>1017</v>
      </c>
      <c r="N9">
        <f>SUMIF(IRSzipToCntyTbl[[#All],[County]],M9,IRSzipToCntyTbl[[#All],[Health care individual responsibility payment]])</f>
        <v>1090</v>
      </c>
    </row>
    <row r="10" spans="1:14" x14ac:dyDescent="0.3">
      <c r="A10">
        <v>20611</v>
      </c>
      <c r="B10" t="s">
        <v>1416</v>
      </c>
      <c r="C10">
        <v>520</v>
      </c>
      <c r="D10">
        <v>0</v>
      </c>
      <c r="E10">
        <v>0</v>
      </c>
      <c r="F10">
        <v>0</v>
      </c>
      <c r="G10">
        <v>0</v>
      </c>
      <c r="I10" s="4">
        <v>20613</v>
      </c>
      <c r="J10" t="str">
        <f>VLOOKUP(I10,ZipToCntyTbl[#All],3,0)</f>
        <v>Prince Georges</v>
      </c>
      <c r="K10" s="4">
        <v>120</v>
      </c>
      <c r="M10" t="s">
        <v>1070</v>
      </c>
      <c r="N10">
        <f>SUMIF(IRSzipToCntyTbl[[#All],[County]],M10,IRSzipToCntyTbl[[#All],[Health care individual responsibility payment]])</f>
        <v>1360</v>
      </c>
    </row>
    <row r="11" spans="1:14" x14ac:dyDescent="0.3">
      <c r="A11">
        <v>20613</v>
      </c>
      <c r="B11" t="s">
        <v>1416</v>
      </c>
      <c r="C11">
        <v>7530</v>
      </c>
      <c r="D11">
        <v>80</v>
      </c>
      <c r="E11">
        <v>244</v>
      </c>
      <c r="F11">
        <v>120</v>
      </c>
      <c r="G11">
        <v>104</v>
      </c>
      <c r="I11" s="2">
        <v>20615</v>
      </c>
      <c r="J11" t="str">
        <f>VLOOKUP(I11,ZipToCntyTbl[#All],3,0)</f>
        <v>Calvert</v>
      </c>
      <c r="K11" s="2">
        <v>0</v>
      </c>
      <c r="M11" t="s">
        <v>1097</v>
      </c>
      <c r="N11">
        <f>SUMIF(IRSzipToCntyTbl[[#All],[County]],M11,IRSzipToCntyTbl[[#All],[Health care individual responsibility payment]])</f>
        <v>310</v>
      </c>
    </row>
    <row r="12" spans="1:14" x14ac:dyDescent="0.3">
      <c r="A12">
        <v>20615</v>
      </c>
      <c r="B12" t="s">
        <v>1416</v>
      </c>
      <c r="C12">
        <v>190</v>
      </c>
      <c r="D12">
        <v>0</v>
      </c>
      <c r="E12">
        <v>0</v>
      </c>
      <c r="F12">
        <v>0</v>
      </c>
      <c r="G12">
        <v>0</v>
      </c>
      <c r="I12" s="4">
        <v>20616</v>
      </c>
      <c r="J12" t="str">
        <f>VLOOKUP(I12,ZipToCntyTbl[#All],3,0)</f>
        <v>Charles</v>
      </c>
      <c r="K12" s="4">
        <v>60</v>
      </c>
      <c r="M12" t="s">
        <v>1027</v>
      </c>
      <c r="N12">
        <f>SUMIF(IRSzipToCntyTbl[[#All],[County]],M12,IRSzipToCntyTbl[[#All],[Health care individual responsibility payment]])</f>
        <v>2810</v>
      </c>
    </row>
    <row r="13" spans="1:14" x14ac:dyDescent="0.3">
      <c r="A13">
        <v>20616</v>
      </c>
      <c r="B13" t="s">
        <v>1416</v>
      </c>
      <c r="C13">
        <v>3490</v>
      </c>
      <c r="D13">
        <v>30</v>
      </c>
      <c r="E13">
        <v>123</v>
      </c>
      <c r="F13">
        <v>60</v>
      </c>
      <c r="G13">
        <v>37</v>
      </c>
      <c r="I13" s="2">
        <v>20617</v>
      </c>
      <c r="J13" t="str">
        <f>VLOOKUP(I13,ZipToCntyTbl[#All],3,0)</f>
        <v>Charles</v>
      </c>
      <c r="K13" s="2">
        <v>0</v>
      </c>
      <c r="M13" t="s">
        <v>1064</v>
      </c>
      <c r="N13">
        <f>SUMIF(IRSzipToCntyTbl[[#All],[County]],M13,IRSzipToCntyTbl[[#All],[Health care individual responsibility payment]])</f>
        <v>400</v>
      </c>
    </row>
    <row r="14" spans="1:14" x14ac:dyDescent="0.3">
      <c r="A14">
        <v>20617</v>
      </c>
      <c r="B14" t="s">
        <v>1416</v>
      </c>
      <c r="C14">
        <v>500</v>
      </c>
      <c r="D14">
        <v>0</v>
      </c>
      <c r="E14">
        <v>0</v>
      </c>
      <c r="F14">
        <v>0</v>
      </c>
      <c r="G14">
        <v>0</v>
      </c>
      <c r="I14" s="4">
        <v>20618</v>
      </c>
      <c r="J14" t="str">
        <f>VLOOKUP(I14,ZipToCntyTbl[#All],3,0)</f>
        <v>Saint Marys</v>
      </c>
      <c r="K14" s="4">
        <v>0</v>
      </c>
      <c r="M14" t="s">
        <v>1045</v>
      </c>
      <c r="N14">
        <f>SUMIF(IRSzipToCntyTbl[[#All],[County]],M14,IRSzipToCntyTbl[[#All],[Health care individual responsibility payment]])</f>
        <v>2380</v>
      </c>
    </row>
    <row r="15" spans="1:14" x14ac:dyDescent="0.3">
      <c r="A15">
        <v>20618</v>
      </c>
      <c r="B15" t="s">
        <v>1416</v>
      </c>
      <c r="C15">
        <v>370</v>
      </c>
      <c r="D15">
        <v>0</v>
      </c>
      <c r="E15">
        <v>0</v>
      </c>
      <c r="F15">
        <v>0</v>
      </c>
      <c r="G15">
        <v>0</v>
      </c>
      <c r="I15" s="2">
        <v>20619</v>
      </c>
      <c r="J15" t="str">
        <f>VLOOKUP(I15,ZipToCntyTbl[#All],3,0)</f>
        <v>Saint Marys</v>
      </c>
      <c r="K15" s="2">
        <v>100</v>
      </c>
      <c r="M15" t="s">
        <v>1038</v>
      </c>
      <c r="N15">
        <f>SUMIF(IRSzipToCntyTbl[[#All],[County]],M15,IRSzipToCntyTbl[[#All],[Health care individual responsibility payment]])</f>
        <v>2860</v>
      </c>
    </row>
    <row r="16" spans="1:14" x14ac:dyDescent="0.3">
      <c r="A16">
        <v>20619</v>
      </c>
      <c r="B16" t="s">
        <v>1416</v>
      </c>
      <c r="C16">
        <v>6210</v>
      </c>
      <c r="D16">
        <v>70</v>
      </c>
      <c r="E16">
        <v>210</v>
      </c>
      <c r="F16">
        <v>100</v>
      </c>
      <c r="G16">
        <v>73</v>
      </c>
      <c r="I16" s="4">
        <v>20620</v>
      </c>
      <c r="J16" t="str">
        <f>VLOOKUP(I16,ZipToCntyTbl[#All],3,0)</f>
        <v>Saint Marys</v>
      </c>
      <c r="K16" s="4">
        <v>0</v>
      </c>
      <c r="M16" t="s">
        <v>1131</v>
      </c>
      <c r="N16">
        <f>SUMIF(IRSzipToCntyTbl[[#All],[County]],M16,IRSzipToCntyTbl[[#All],[Health care individual responsibility payment]])</f>
        <v>180</v>
      </c>
    </row>
    <row r="17" spans="1:14" x14ac:dyDescent="0.3">
      <c r="A17">
        <v>20620</v>
      </c>
      <c r="B17" t="s">
        <v>1416</v>
      </c>
      <c r="C17">
        <v>730</v>
      </c>
      <c r="D17">
        <v>0</v>
      </c>
      <c r="E17">
        <v>0</v>
      </c>
      <c r="F17">
        <v>0</v>
      </c>
      <c r="G17">
        <v>0</v>
      </c>
      <c r="I17" s="2">
        <v>20621</v>
      </c>
      <c r="J17" t="str">
        <f>VLOOKUP(I17,ZipToCntyTbl[#All],3,0)</f>
        <v>Saint Marys</v>
      </c>
      <c r="K17" s="2">
        <v>0</v>
      </c>
      <c r="M17" t="s">
        <v>991</v>
      </c>
      <c r="N17">
        <f>SUMIF(IRSzipToCntyTbl[[#All],[County]],M17,IRSzipToCntyTbl[[#All],[Health care individual responsibility payment]])</f>
        <v>13400</v>
      </c>
    </row>
    <row r="18" spans="1:14" x14ac:dyDescent="0.3">
      <c r="A18">
        <v>20621</v>
      </c>
      <c r="B18" t="s">
        <v>1416</v>
      </c>
      <c r="C18">
        <v>750</v>
      </c>
      <c r="D18">
        <v>0</v>
      </c>
      <c r="E18">
        <v>0</v>
      </c>
      <c r="F18">
        <v>0</v>
      </c>
      <c r="G18">
        <v>0</v>
      </c>
      <c r="I18" s="4">
        <v>20622</v>
      </c>
      <c r="J18" t="str">
        <f>VLOOKUP(I18,ZipToCntyTbl[#All],3,0)</f>
        <v>Saint Marys</v>
      </c>
      <c r="K18" s="4">
        <v>40</v>
      </c>
      <c r="M18" t="s">
        <v>989</v>
      </c>
      <c r="N18">
        <f>SUMIF(IRSzipToCntyTbl[[#All],[County]],M18,IRSzipToCntyTbl[[#All],[Health care individual responsibility payment]])</f>
        <v>12500</v>
      </c>
    </row>
    <row r="19" spans="1:14" x14ac:dyDescent="0.3">
      <c r="A19">
        <v>20622</v>
      </c>
      <c r="B19" t="s">
        <v>1416</v>
      </c>
      <c r="C19">
        <v>2230</v>
      </c>
      <c r="D19">
        <v>30</v>
      </c>
      <c r="E19">
        <v>115</v>
      </c>
      <c r="F19">
        <v>40</v>
      </c>
      <c r="G19">
        <v>26</v>
      </c>
      <c r="I19" s="2">
        <v>20623</v>
      </c>
      <c r="J19" t="str">
        <f>VLOOKUP(I19,ZipToCntyTbl[#All],3,0)</f>
        <v>Prince Georges</v>
      </c>
      <c r="K19" s="2">
        <v>0</v>
      </c>
      <c r="M19" t="s">
        <v>1141</v>
      </c>
      <c r="N19">
        <f>SUMIF(IRSzipToCntyTbl[[#All],[County]],M19,IRSzipToCntyTbl[[#All],[Health care individual responsibility payment]])</f>
        <v>360</v>
      </c>
    </row>
    <row r="20" spans="1:14" x14ac:dyDescent="0.3">
      <c r="A20">
        <v>20623</v>
      </c>
      <c r="B20" t="s">
        <v>1416</v>
      </c>
      <c r="C20">
        <v>1570</v>
      </c>
      <c r="D20">
        <v>0</v>
      </c>
      <c r="E20">
        <v>0</v>
      </c>
      <c r="F20">
        <v>0</v>
      </c>
      <c r="G20">
        <v>0</v>
      </c>
      <c r="I20" s="4">
        <v>20624</v>
      </c>
      <c r="J20" t="str">
        <f>VLOOKUP(I20,ZipToCntyTbl[#All],3,0)</f>
        <v>Saint Marys</v>
      </c>
      <c r="K20" s="4">
        <v>0</v>
      </c>
      <c r="M20" t="s">
        <v>1053</v>
      </c>
      <c r="N20">
        <f>SUMIF(IRSzipToCntyTbl[[#All],[County]],M20,IRSzipToCntyTbl[[#All],[Health care individual responsibility payment]])</f>
        <v>860</v>
      </c>
    </row>
    <row r="21" spans="1:14" x14ac:dyDescent="0.3">
      <c r="A21">
        <v>20624</v>
      </c>
      <c r="B21" t="s">
        <v>1416</v>
      </c>
      <c r="C21">
        <v>620</v>
      </c>
      <c r="D21">
        <v>0</v>
      </c>
      <c r="E21">
        <v>0</v>
      </c>
      <c r="F21">
        <v>0</v>
      </c>
      <c r="G21">
        <v>0</v>
      </c>
      <c r="I21" s="2">
        <v>20626</v>
      </c>
      <c r="J21" t="str">
        <f>VLOOKUP(I21,ZipToCntyTbl[#All],3,0)</f>
        <v>Saint Marys</v>
      </c>
      <c r="K21" s="2">
        <v>0</v>
      </c>
      <c r="M21" t="s">
        <v>1108</v>
      </c>
      <c r="N21">
        <f>SUMIF(IRSzipToCntyTbl[[#All],[County]],M21,IRSzipToCntyTbl[[#All],[Health care individual responsibility payment]])</f>
        <v>140</v>
      </c>
    </row>
    <row r="22" spans="1:14" x14ac:dyDescent="0.3">
      <c r="A22">
        <v>20626</v>
      </c>
      <c r="B22" t="s">
        <v>1416</v>
      </c>
      <c r="C22">
        <v>180</v>
      </c>
      <c r="D22">
        <v>0</v>
      </c>
      <c r="E22">
        <v>0</v>
      </c>
      <c r="F22">
        <v>0</v>
      </c>
      <c r="G22">
        <v>0</v>
      </c>
      <c r="I22" s="4">
        <v>20628</v>
      </c>
      <c r="J22" t="str">
        <f>VLOOKUP(I22,ZipToCntyTbl[#All],3,0)</f>
        <v>Saint Marys</v>
      </c>
      <c r="K22" s="4">
        <v>0</v>
      </c>
      <c r="M22" t="s">
        <v>1057</v>
      </c>
      <c r="N22">
        <f>SUMIF(IRSzipToCntyTbl[[#All],[County]],M22,IRSzipToCntyTbl[[#All],[Health care individual responsibility payment]])</f>
        <v>380</v>
      </c>
    </row>
    <row r="23" spans="1:14" x14ac:dyDescent="0.3">
      <c r="A23">
        <v>20628</v>
      </c>
      <c r="B23" t="s">
        <v>1416</v>
      </c>
      <c r="C23">
        <v>280</v>
      </c>
      <c r="D23">
        <v>0</v>
      </c>
      <c r="E23">
        <v>0</v>
      </c>
      <c r="F23">
        <v>0</v>
      </c>
      <c r="G23">
        <v>0</v>
      </c>
      <c r="I23" s="2">
        <v>20630</v>
      </c>
      <c r="J23" t="str">
        <f>VLOOKUP(I23,ZipToCntyTbl[#All],3,0)</f>
        <v>Saint Marys</v>
      </c>
      <c r="K23" s="2">
        <v>0</v>
      </c>
      <c r="M23" t="s">
        <v>999</v>
      </c>
      <c r="N23">
        <f>SUMIF(IRSzipToCntyTbl[[#All],[County]],M23,IRSzipToCntyTbl[[#All],[Health care individual responsibility payment]])</f>
        <v>1780</v>
      </c>
    </row>
    <row r="24" spans="1:14" x14ac:dyDescent="0.3">
      <c r="A24">
        <v>20630</v>
      </c>
      <c r="B24" t="s">
        <v>1416</v>
      </c>
      <c r="C24">
        <v>260</v>
      </c>
      <c r="D24">
        <v>0</v>
      </c>
      <c r="E24">
        <v>0</v>
      </c>
      <c r="F24">
        <v>0</v>
      </c>
      <c r="G24">
        <v>0</v>
      </c>
      <c r="I24" s="4">
        <v>20632</v>
      </c>
      <c r="J24" t="str">
        <f>VLOOKUP(I24,ZipToCntyTbl[#All],3,0)</f>
        <v>Charles</v>
      </c>
      <c r="K24" s="4">
        <v>0</v>
      </c>
      <c r="M24" t="s">
        <v>1021</v>
      </c>
      <c r="N24">
        <f>SUMIF(IRSzipToCntyTbl[[#All],[County]],M24,IRSzipToCntyTbl[[#All],[Health care individual responsibility payment]])</f>
        <v>1150</v>
      </c>
    </row>
    <row r="25" spans="1:14" x14ac:dyDescent="0.3">
      <c r="A25">
        <v>20632</v>
      </c>
      <c r="B25" t="s">
        <v>1416</v>
      </c>
      <c r="C25">
        <v>250</v>
      </c>
      <c r="D25">
        <v>0</v>
      </c>
      <c r="E25">
        <v>0</v>
      </c>
      <c r="F25">
        <v>0</v>
      </c>
      <c r="G25">
        <v>0</v>
      </c>
      <c r="I25" s="2">
        <v>20634</v>
      </c>
      <c r="J25" t="str">
        <f>VLOOKUP(I25,ZipToCntyTbl[#All],3,0)</f>
        <v>Saint Marys</v>
      </c>
      <c r="K25" s="2">
        <v>70</v>
      </c>
      <c r="M25" t="s">
        <v>1062</v>
      </c>
      <c r="N25">
        <f>SUMIF(IRSzipToCntyTbl[[#All],[County]],M25,IRSzipToCntyTbl[[#All],[Health care individual responsibility payment]])</f>
        <v>770</v>
      </c>
    </row>
    <row r="26" spans="1:14" x14ac:dyDescent="0.3">
      <c r="A26">
        <v>20634</v>
      </c>
      <c r="B26" t="s">
        <v>1416</v>
      </c>
      <c r="C26">
        <v>3500</v>
      </c>
      <c r="D26">
        <v>30</v>
      </c>
      <c r="E26">
        <v>80</v>
      </c>
      <c r="F26">
        <v>70</v>
      </c>
      <c r="G26">
        <v>42</v>
      </c>
      <c r="I26" s="4">
        <v>20636</v>
      </c>
      <c r="J26" t="str">
        <f>VLOOKUP(I26,ZipToCntyTbl[#All],3,0)</f>
        <v>Saint Marys</v>
      </c>
      <c r="K26" s="4">
        <v>70</v>
      </c>
    </row>
    <row r="27" spans="1:14" x14ac:dyDescent="0.3">
      <c r="A27">
        <v>20636</v>
      </c>
      <c r="B27" t="s">
        <v>1416</v>
      </c>
      <c r="C27">
        <v>5030</v>
      </c>
      <c r="D27">
        <v>70</v>
      </c>
      <c r="E27">
        <v>206</v>
      </c>
      <c r="F27">
        <v>70</v>
      </c>
      <c r="G27">
        <v>47</v>
      </c>
      <c r="I27" s="2">
        <v>20637</v>
      </c>
      <c r="J27" t="str">
        <f>VLOOKUP(I27,ZipToCntyTbl[#All],3,0)</f>
        <v>Charles</v>
      </c>
      <c r="K27" s="2">
        <v>50</v>
      </c>
    </row>
    <row r="28" spans="1:14" x14ac:dyDescent="0.3">
      <c r="A28">
        <v>20637</v>
      </c>
      <c r="B28" t="s">
        <v>1416</v>
      </c>
      <c r="C28">
        <v>2880</v>
      </c>
      <c r="D28">
        <v>60</v>
      </c>
      <c r="E28">
        <v>165</v>
      </c>
      <c r="F28">
        <v>50</v>
      </c>
      <c r="G28">
        <v>29</v>
      </c>
      <c r="I28" s="4">
        <v>20639</v>
      </c>
      <c r="J28" t="str">
        <f>VLOOKUP(I28,ZipToCntyTbl[#All],3,0)</f>
        <v>Calvert</v>
      </c>
      <c r="K28" s="4">
        <v>90</v>
      </c>
    </row>
    <row r="29" spans="1:14" x14ac:dyDescent="0.3">
      <c r="A29">
        <v>20639</v>
      </c>
      <c r="B29" t="s">
        <v>1416</v>
      </c>
      <c r="C29">
        <v>7500</v>
      </c>
      <c r="D29">
        <v>110</v>
      </c>
      <c r="E29">
        <v>319</v>
      </c>
      <c r="F29">
        <v>90</v>
      </c>
      <c r="G29">
        <v>60</v>
      </c>
      <c r="I29" s="2">
        <v>20640</v>
      </c>
      <c r="J29" t="str">
        <f>VLOOKUP(I29,ZipToCntyTbl[#All],3,0)</f>
        <v>Charles</v>
      </c>
      <c r="K29" s="2">
        <v>110</v>
      </c>
    </row>
    <row r="30" spans="1:14" x14ac:dyDescent="0.3">
      <c r="A30">
        <v>20640</v>
      </c>
      <c r="B30" t="s">
        <v>1416</v>
      </c>
      <c r="C30">
        <v>4790</v>
      </c>
      <c r="D30">
        <v>70</v>
      </c>
      <c r="E30">
        <v>204</v>
      </c>
      <c r="F30">
        <v>110</v>
      </c>
      <c r="G30">
        <v>88</v>
      </c>
      <c r="I30" s="4">
        <v>20645</v>
      </c>
      <c r="J30" t="str">
        <f>VLOOKUP(I30,ZipToCntyTbl[#All],3,0)</f>
        <v>Charles</v>
      </c>
      <c r="K30" s="4">
        <v>0</v>
      </c>
    </row>
    <row r="31" spans="1:14" x14ac:dyDescent="0.3">
      <c r="A31">
        <v>20645</v>
      </c>
      <c r="B31" t="s">
        <v>1416</v>
      </c>
      <c r="C31">
        <v>380</v>
      </c>
      <c r="D31">
        <v>0</v>
      </c>
      <c r="E31">
        <v>0</v>
      </c>
      <c r="F31">
        <v>0</v>
      </c>
      <c r="G31">
        <v>0</v>
      </c>
      <c r="I31" s="2">
        <v>20646</v>
      </c>
      <c r="J31" t="str">
        <f>VLOOKUP(I31,ZipToCntyTbl[#All],3,0)</f>
        <v>Charles</v>
      </c>
      <c r="K31" s="2">
        <v>170</v>
      </c>
    </row>
    <row r="32" spans="1:14" x14ac:dyDescent="0.3">
      <c r="A32">
        <v>20646</v>
      </c>
      <c r="B32" t="s">
        <v>1416</v>
      </c>
      <c r="C32">
        <v>9990</v>
      </c>
      <c r="D32">
        <v>150</v>
      </c>
      <c r="E32">
        <v>420</v>
      </c>
      <c r="F32">
        <v>170</v>
      </c>
      <c r="G32">
        <v>112</v>
      </c>
      <c r="I32" s="4">
        <v>20650</v>
      </c>
      <c r="J32" t="str">
        <f>VLOOKUP(I32,ZipToCntyTbl[#All],3,0)</f>
        <v>Saint Marys</v>
      </c>
      <c r="K32" s="4">
        <v>80</v>
      </c>
    </row>
    <row r="33" spans="1:11" x14ac:dyDescent="0.3">
      <c r="A33">
        <v>20650</v>
      </c>
      <c r="B33" t="s">
        <v>1416</v>
      </c>
      <c r="C33">
        <v>6420</v>
      </c>
      <c r="D33">
        <v>60</v>
      </c>
      <c r="E33">
        <v>196</v>
      </c>
      <c r="F33">
        <v>80</v>
      </c>
      <c r="G33">
        <v>60</v>
      </c>
      <c r="I33" s="2">
        <v>20653</v>
      </c>
      <c r="J33" t="str">
        <f>VLOOKUP(I33,ZipToCntyTbl[#All],3,0)</f>
        <v>Saint Marys</v>
      </c>
      <c r="K33" s="2">
        <v>270</v>
      </c>
    </row>
    <row r="34" spans="1:11" x14ac:dyDescent="0.3">
      <c r="A34">
        <v>20653</v>
      </c>
      <c r="B34" t="s">
        <v>1416</v>
      </c>
      <c r="C34">
        <v>10750</v>
      </c>
      <c r="D34">
        <v>140</v>
      </c>
      <c r="E34">
        <v>361</v>
      </c>
      <c r="F34">
        <v>270</v>
      </c>
      <c r="G34">
        <v>171</v>
      </c>
      <c r="I34" s="4">
        <v>20657</v>
      </c>
      <c r="J34" t="str">
        <f>VLOOKUP(I34,ZipToCntyTbl[#All],3,0)</f>
        <v>Calvert</v>
      </c>
      <c r="K34" s="4">
        <v>230</v>
      </c>
    </row>
    <row r="35" spans="1:11" x14ac:dyDescent="0.3">
      <c r="A35">
        <v>20657</v>
      </c>
      <c r="B35" t="s">
        <v>1416</v>
      </c>
      <c r="C35">
        <v>9130</v>
      </c>
      <c r="D35">
        <v>150</v>
      </c>
      <c r="E35">
        <v>363</v>
      </c>
      <c r="F35">
        <v>230</v>
      </c>
      <c r="G35">
        <v>171</v>
      </c>
      <c r="I35" s="2">
        <v>20658</v>
      </c>
      <c r="J35" t="str">
        <f>VLOOKUP(I35,ZipToCntyTbl[#All],3,0)</f>
        <v>Charles</v>
      </c>
      <c r="K35" s="2">
        <v>0</v>
      </c>
    </row>
    <row r="36" spans="1:11" x14ac:dyDescent="0.3">
      <c r="A36">
        <v>20658</v>
      </c>
      <c r="B36" t="s">
        <v>1416</v>
      </c>
      <c r="C36">
        <v>530</v>
      </c>
      <c r="D36">
        <v>0</v>
      </c>
      <c r="E36">
        <v>0</v>
      </c>
      <c r="F36">
        <v>0</v>
      </c>
      <c r="G36">
        <v>0</v>
      </c>
      <c r="I36" s="4">
        <v>20659</v>
      </c>
      <c r="J36" t="str">
        <f>VLOOKUP(I36,ZipToCntyTbl[#All],3,0)</f>
        <v>Saint Marys</v>
      </c>
      <c r="K36" s="4">
        <v>230</v>
      </c>
    </row>
    <row r="37" spans="1:11" x14ac:dyDescent="0.3">
      <c r="A37">
        <v>20659</v>
      </c>
      <c r="B37" t="s">
        <v>1416</v>
      </c>
      <c r="C37">
        <v>11260</v>
      </c>
      <c r="D37">
        <v>200</v>
      </c>
      <c r="E37">
        <v>566</v>
      </c>
      <c r="F37">
        <v>230</v>
      </c>
      <c r="G37">
        <v>184</v>
      </c>
      <c r="I37" s="2">
        <v>20662</v>
      </c>
      <c r="J37" t="str">
        <f>VLOOKUP(I37,ZipToCntyTbl[#All],3,0)</f>
        <v>Charles</v>
      </c>
      <c r="K37" s="2">
        <v>30</v>
      </c>
    </row>
    <row r="38" spans="1:11" x14ac:dyDescent="0.3">
      <c r="A38">
        <v>20662</v>
      </c>
      <c r="B38" t="s">
        <v>1416</v>
      </c>
      <c r="C38">
        <v>1240</v>
      </c>
      <c r="D38">
        <v>0</v>
      </c>
      <c r="E38">
        <v>0</v>
      </c>
      <c r="F38">
        <v>30</v>
      </c>
      <c r="G38">
        <v>19</v>
      </c>
      <c r="I38" s="4">
        <v>20664</v>
      </c>
      <c r="J38" t="str">
        <f>VLOOKUP(I38,ZipToCntyTbl[#All],3,0)</f>
        <v>Charles</v>
      </c>
      <c r="K38" s="4">
        <v>40</v>
      </c>
    </row>
    <row r="39" spans="1:11" x14ac:dyDescent="0.3">
      <c r="A39">
        <v>20664</v>
      </c>
      <c r="B39" t="s">
        <v>1416</v>
      </c>
      <c r="C39">
        <v>1330</v>
      </c>
      <c r="D39">
        <v>20</v>
      </c>
      <c r="E39">
        <v>62</v>
      </c>
      <c r="F39">
        <v>40</v>
      </c>
      <c r="G39">
        <v>23</v>
      </c>
      <c r="I39" s="2">
        <v>20667</v>
      </c>
      <c r="J39" t="str">
        <f>VLOOKUP(I39,ZipToCntyTbl[#All],3,0)</f>
        <v>Saint Marys</v>
      </c>
      <c r="K39" s="2">
        <v>0</v>
      </c>
    </row>
    <row r="40" spans="1:11" x14ac:dyDescent="0.3">
      <c r="A40">
        <v>20667</v>
      </c>
      <c r="B40" t="s">
        <v>1416</v>
      </c>
      <c r="C40">
        <v>240</v>
      </c>
      <c r="D40">
        <v>0</v>
      </c>
      <c r="E40">
        <v>0</v>
      </c>
      <c r="F40">
        <v>0</v>
      </c>
      <c r="G40">
        <v>0</v>
      </c>
      <c r="I40" s="4">
        <v>20670</v>
      </c>
      <c r="J40" t="str">
        <f>VLOOKUP(I40,ZipToCntyTbl[#All],3,0)</f>
        <v>Saint Marys</v>
      </c>
      <c r="K40" s="4">
        <v>0</v>
      </c>
    </row>
    <row r="41" spans="1:11" x14ac:dyDescent="0.3">
      <c r="A41">
        <v>20670</v>
      </c>
      <c r="B41" t="s">
        <v>1416</v>
      </c>
      <c r="C41">
        <v>540</v>
      </c>
      <c r="D41">
        <v>0</v>
      </c>
      <c r="E41">
        <v>0</v>
      </c>
      <c r="F41">
        <v>0</v>
      </c>
      <c r="G41">
        <v>0</v>
      </c>
      <c r="I41" s="2">
        <v>20674</v>
      </c>
      <c r="J41" t="str">
        <f>VLOOKUP(I41,ZipToCntyTbl[#All],3,0)</f>
        <v>Saint Marys</v>
      </c>
      <c r="K41" s="2">
        <v>0</v>
      </c>
    </row>
    <row r="42" spans="1:11" x14ac:dyDescent="0.3">
      <c r="A42">
        <v>20674</v>
      </c>
      <c r="B42" t="s">
        <v>1416</v>
      </c>
      <c r="C42">
        <v>410</v>
      </c>
      <c r="D42">
        <v>0</v>
      </c>
      <c r="E42">
        <v>0</v>
      </c>
      <c r="F42">
        <v>0</v>
      </c>
      <c r="G42">
        <v>0</v>
      </c>
      <c r="I42" s="4">
        <v>20675</v>
      </c>
      <c r="J42" t="str">
        <f>VLOOKUP(I42,ZipToCntyTbl[#All],3,0)</f>
        <v>Charles</v>
      </c>
      <c r="K42" s="4">
        <v>0</v>
      </c>
    </row>
    <row r="43" spans="1:11" x14ac:dyDescent="0.3">
      <c r="A43">
        <v>20675</v>
      </c>
      <c r="B43" t="s">
        <v>1416</v>
      </c>
      <c r="C43">
        <v>870</v>
      </c>
      <c r="D43">
        <v>0</v>
      </c>
      <c r="E43">
        <v>0</v>
      </c>
      <c r="F43">
        <v>0</v>
      </c>
      <c r="G43">
        <v>0</v>
      </c>
      <c r="I43" s="2">
        <v>20676</v>
      </c>
      <c r="J43" t="str">
        <f>VLOOKUP(I43,ZipToCntyTbl[#All],3,0)</f>
        <v>Calvert</v>
      </c>
      <c r="K43" s="2">
        <v>30</v>
      </c>
    </row>
    <row r="44" spans="1:11" x14ac:dyDescent="0.3">
      <c r="A44">
        <v>20676</v>
      </c>
      <c r="B44" t="s">
        <v>1416</v>
      </c>
      <c r="C44">
        <v>1710</v>
      </c>
      <c r="D44">
        <v>30</v>
      </c>
      <c r="E44">
        <v>74</v>
      </c>
      <c r="F44">
        <v>30</v>
      </c>
      <c r="G44">
        <v>19</v>
      </c>
      <c r="I44" s="4">
        <v>20677</v>
      </c>
      <c r="J44" t="str">
        <f>VLOOKUP(I44,ZipToCntyTbl[#All],3,0)</f>
        <v>Charles</v>
      </c>
      <c r="K44" s="4">
        <v>0</v>
      </c>
    </row>
    <row r="45" spans="1:11" x14ac:dyDescent="0.3">
      <c r="A45">
        <v>20677</v>
      </c>
      <c r="B45" t="s">
        <v>1416</v>
      </c>
      <c r="C45">
        <v>1250</v>
      </c>
      <c r="D45">
        <v>0</v>
      </c>
      <c r="E45">
        <v>0</v>
      </c>
      <c r="F45">
        <v>0</v>
      </c>
      <c r="G45">
        <v>0</v>
      </c>
      <c r="I45" s="2">
        <v>20678</v>
      </c>
      <c r="J45" t="str">
        <f>VLOOKUP(I45,ZipToCntyTbl[#All],3,0)</f>
        <v>Calvert</v>
      </c>
      <c r="K45" s="2">
        <v>130</v>
      </c>
    </row>
    <row r="46" spans="1:11" x14ac:dyDescent="0.3">
      <c r="A46">
        <v>20678</v>
      </c>
      <c r="B46" t="s">
        <v>1416</v>
      </c>
      <c r="C46">
        <v>5720</v>
      </c>
      <c r="D46">
        <v>130</v>
      </c>
      <c r="E46">
        <v>341</v>
      </c>
      <c r="F46">
        <v>130</v>
      </c>
      <c r="G46">
        <v>90</v>
      </c>
      <c r="I46" s="4">
        <v>20680</v>
      </c>
      <c r="J46" t="str">
        <f>VLOOKUP(I46,ZipToCntyTbl[#All],3,0)</f>
        <v>Saint Marys</v>
      </c>
      <c r="K46" s="4">
        <v>0</v>
      </c>
    </row>
    <row r="47" spans="1:11" x14ac:dyDescent="0.3">
      <c r="A47">
        <v>20680</v>
      </c>
      <c r="B47" t="s">
        <v>1416</v>
      </c>
      <c r="C47">
        <v>420</v>
      </c>
      <c r="D47">
        <v>0</v>
      </c>
      <c r="E47">
        <v>0</v>
      </c>
      <c r="F47">
        <v>0</v>
      </c>
      <c r="G47">
        <v>0</v>
      </c>
      <c r="I47" s="2">
        <v>20684</v>
      </c>
      <c r="J47" t="str">
        <f>VLOOKUP(I47,ZipToCntyTbl[#All],3,0)</f>
        <v>Saint Marys</v>
      </c>
      <c r="K47" s="2">
        <v>0</v>
      </c>
    </row>
    <row r="48" spans="1:11" x14ac:dyDescent="0.3">
      <c r="A48">
        <v>20684</v>
      </c>
      <c r="B48" t="s">
        <v>1416</v>
      </c>
      <c r="C48">
        <v>570</v>
      </c>
      <c r="D48">
        <v>0</v>
      </c>
      <c r="E48">
        <v>0</v>
      </c>
      <c r="F48">
        <v>0</v>
      </c>
      <c r="G48">
        <v>0</v>
      </c>
      <c r="I48" s="4">
        <v>20685</v>
      </c>
      <c r="J48" t="str">
        <f>VLOOKUP(I48,ZipToCntyTbl[#All],3,0)</f>
        <v>Calvert</v>
      </c>
      <c r="K48" s="4">
        <v>60</v>
      </c>
    </row>
    <row r="49" spans="1:11" x14ac:dyDescent="0.3">
      <c r="A49">
        <v>20685</v>
      </c>
      <c r="B49" t="s">
        <v>1416</v>
      </c>
      <c r="C49">
        <v>3270</v>
      </c>
      <c r="D49">
        <v>70</v>
      </c>
      <c r="E49">
        <v>204</v>
      </c>
      <c r="F49">
        <v>60</v>
      </c>
      <c r="G49">
        <v>48</v>
      </c>
      <c r="I49" s="2">
        <v>20686</v>
      </c>
      <c r="J49" t="str">
        <f>VLOOKUP(I49,ZipToCntyTbl[#All],3,0)</f>
        <v>Saint Marys</v>
      </c>
      <c r="K49" s="2">
        <v>0</v>
      </c>
    </row>
    <row r="50" spans="1:11" x14ac:dyDescent="0.3">
      <c r="A50">
        <v>20686</v>
      </c>
      <c r="B50" t="s">
        <v>1416</v>
      </c>
      <c r="C50">
        <v>150</v>
      </c>
      <c r="D50">
        <v>0</v>
      </c>
      <c r="E50">
        <v>0</v>
      </c>
      <c r="F50">
        <v>0</v>
      </c>
      <c r="G50">
        <v>0</v>
      </c>
      <c r="I50" s="4">
        <v>20687</v>
      </c>
      <c r="J50" t="str">
        <f>VLOOKUP(I50,ZipToCntyTbl[#All],3,0)</f>
        <v>Saint Marys</v>
      </c>
      <c r="K50" s="4">
        <v>0</v>
      </c>
    </row>
    <row r="51" spans="1:11" x14ac:dyDescent="0.3">
      <c r="A51">
        <v>20687</v>
      </c>
      <c r="B51" t="s">
        <v>1416</v>
      </c>
      <c r="C51">
        <v>140</v>
      </c>
      <c r="D51">
        <v>0</v>
      </c>
      <c r="E51">
        <v>0</v>
      </c>
      <c r="F51">
        <v>0</v>
      </c>
      <c r="G51">
        <v>0</v>
      </c>
      <c r="I51" s="2">
        <v>20688</v>
      </c>
      <c r="J51" t="str">
        <f>VLOOKUP(I51,ZipToCntyTbl[#All],3,0)</f>
        <v>Calvert</v>
      </c>
      <c r="K51" s="2">
        <v>0</v>
      </c>
    </row>
    <row r="52" spans="1:11" x14ac:dyDescent="0.3">
      <c r="A52">
        <v>20688</v>
      </c>
      <c r="B52" t="s">
        <v>1416</v>
      </c>
      <c r="C52">
        <v>1110</v>
      </c>
      <c r="D52">
        <v>0</v>
      </c>
      <c r="E52">
        <v>0</v>
      </c>
      <c r="F52">
        <v>0</v>
      </c>
      <c r="G52">
        <v>0</v>
      </c>
      <c r="I52" s="4">
        <v>20689</v>
      </c>
      <c r="J52" t="str">
        <f>VLOOKUP(I52,ZipToCntyTbl[#All],3,0)</f>
        <v>Calvert</v>
      </c>
      <c r="K52" s="4">
        <v>0</v>
      </c>
    </row>
    <row r="53" spans="1:11" x14ac:dyDescent="0.3">
      <c r="A53">
        <v>20689</v>
      </c>
      <c r="B53" t="s">
        <v>1416</v>
      </c>
      <c r="C53">
        <v>890</v>
      </c>
      <c r="D53">
        <v>0</v>
      </c>
      <c r="E53">
        <v>0</v>
      </c>
      <c r="F53">
        <v>0</v>
      </c>
      <c r="G53">
        <v>0</v>
      </c>
      <c r="I53" s="2">
        <v>20690</v>
      </c>
      <c r="J53" t="str">
        <f>VLOOKUP(I53,ZipToCntyTbl[#All],3,0)</f>
        <v>Saint Marys</v>
      </c>
      <c r="K53" s="2">
        <v>0</v>
      </c>
    </row>
    <row r="54" spans="1:11" x14ac:dyDescent="0.3">
      <c r="A54">
        <v>20690</v>
      </c>
      <c r="B54" t="s">
        <v>1416</v>
      </c>
      <c r="C54">
        <v>380</v>
      </c>
      <c r="D54">
        <v>0</v>
      </c>
      <c r="E54">
        <v>0</v>
      </c>
      <c r="F54">
        <v>0</v>
      </c>
      <c r="G54">
        <v>0</v>
      </c>
      <c r="I54" s="4">
        <v>20692</v>
      </c>
      <c r="J54" t="str">
        <f>VLOOKUP(I54,ZipToCntyTbl[#All],3,0)</f>
        <v>Saint Marys</v>
      </c>
      <c r="K54" s="4">
        <v>0</v>
      </c>
    </row>
    <row r="55" spans="1:11" x14ac:dyDescent="0.3">
      <c r="A55">
        <v>20692</v>
      </c>
      <c r="B55" t="s">
        <v>1416</v>
      </c>
      <c r="C55">
        <v>550</v>
      </c>
      <c r="D55">
        <v>0</v>
      </c>
      <c r="E55">
        <v>0</v>
      </c>
      <c r="F55">
        <v>0</v>
      </c>
      <c r="G55">
        <v>0</v>
      </c>
      <c r="I55" s="2">
        <v>20693</v>
      </c>
      <c r="J55" t="str">
        <f>VLOOKUP(I55,ZipToCntyTbl[#All],3,0)</f>
        <v>Charles</v>
      </c>
      <c r="K55" s="2">
        <v>0</v>
      </c>
    </row>
    <row r="56" spans="1:11" x14ac:dyDescent="0.3">
      <c r="A56">
        <v>20693</v>
      </c>
      <c r="B56" t="s">
        <v>1416</v>
      </c>
      <c r="C56">
        <v>560</v>
      </c>
      <c r="D56">
        <v>0</v>
      </c>
      <c r="E56">
        <v>0</v>
      </c>
      <c r="F56">
        <v>0</v>
      </c>
      <c r="G56">
        <v>0</v>
      </c>
      <c r="I56" s="4">
        <v>20695</v>
      </c>
      <c r="J56" t="str">
        <f>VLOOKUP(I56,ZipToCntyTbl[#All],3,0)</f>
        <v>Charles</v>
      </c>
      <c r="K56" s="4">
        <v>80</v>
      </c>
    </row>
    <row r="57" spans="1:11" x14ac:dyDescent="0.3">
      <c r="A57">
        <v>20695</v>
      </c>
      <c r="B57" t="s">
        <v>1416</v>
      </c>
      <c r="C57">
        <v>5650</v>
      </c>
      <c r="D57">
        <v>90</v>
      </c>
      <c r="E57">
        <v>290</v>
      </c>
      <c r="F57">
        <v>80</v>
      </c>
      <c r="G57">
        <v>58</v>
      </c>
      <c r="I57" s="2">
        <v>20705</v>
      </c>
      <c r="J57" t="str">
        <f>VLOOKUP(I57,ZipToCntyTbl[#All],3,0)</f>
        <v>Prince Georges</v>
      </c>
      <c r="K57" s="2">
        <v>540</v>
      </c>
    </row>
    <row r="58" spans="1:11" x14ac:dyDescent="0.3">
      <c r="A58">
        <v>20705</v>
      </c>
      <c r="B58" t="s">
        <v>1416</v>
      </c>
      <c r="C58">
        <v>14830</v>
      </c>
      <c r="D58">
        <v>540</v>
      </c>
      <c r="E58">
        <v>1881</v>
      </c>
      <c r="F58">
        <v>540</v>
      </c>
      <c r="G58">
        <v>403</v>
      </c>
      <c r="I58" s="4">
        <v>20706</v>
      </c>
      <c r="J58" t="str">
        <f>VLOOKUP(I58,ZipToCntyTbl[#All],3,0)</f>
        <v>Prince Georges</v>
      </c>
      <c r="K58" s="4">
        <v>710</v>
      </c>
    </row>
    <row r="59" spans="1:11" x14ac:dyDescent="0.3">
      <c r="A59">
        <v>20706</v>
      </c>
      <c r="B59" t="s">
        <v>1416</v>
      </c>
      <c r="C59">
        <v>21890</v>
      </c>
      <c r="D59">
        <v>740</v>
      </c>
      <c r="E59">
        <v>2199</v>
      </c>
      <c r="F59">
        <v>710</v>
      </c>
      <c r="G59">
        <v>576</v>
      </c>
      <c r="I59" s="2">
        <v>20707</v>
      </c>
      <c r="J59" t="str">
        <f>VLOOKUP(I59,ZipToCntyTbl[#All],3,0)</f>
        <v>Prince Georges</v>
      </c>
      <c r="K59" s="2">
        <v>580</v>
      </c>
    </row>
    <row r="60" spans="1:11" x14ac:dyDescent="0.3">
      <c r="A60">
        <v>20707</v>
      </c>
      <c r="B60" t="s">
        <v>1416</v>
      </c>
      <c r="C60">
        <v>19290</v>
      </c>
      <c r="D60">
        <v>640</v>
      </c>
      <c r="E60">
        <v>2088</v>
      </c>
      <c r="F60">
        <v>580</v>
      </c>
      <c r="G60">
        <v>432</v>
      </c>
      <c r="I60" s="4">
        <v>20708</v>
      </c>
      <c r="J60" t="str">
        <f>VLOOKUP(I60,ZipToCntyTbl[#All],3,0)</f>
        <v>Prince Georges</v>
      </c>
      <c r="K60" s="4">
        <v>420</v>
      </c>
    </row>
    <row r="61" spans="1:11" x14ac:dyDescent="0.3">
      <c r="A61">
        <v>20708</v>
      </c>
      <c r="B61" t="s">
        <v>1416</v>
      </c>
      <c r="C61">
        <v>13530</v>
      </c>
      <c r="D61">
        <v>420</v>
      </c>
      <c r="E61">
        <v>1106</v>
      </c>
      <c r="F61">
        <v>420</v>
      </c>
      <c r="G61">
        <v>283</v>
      </c>
      <c r="I61" s="2">
        <v>20710</v>
      </c>
      <c r="J61" t="str">
        <f>VLOOKUP(I61,ZipToCntyTbl[#All],3,0)</f>
        <v>Prince Georges</v>
      </c>
      <c r="K61" s="2">
        <v>210</v>
      </c>
    </row>
    <row r="62" spans="1:11" x14ac:dyDescent="0.3">
      <c r="A62">
        <v>20710</v>
      </c>
      <c r="B62" t="s">
        <v>1416</v>
      </c>
      <c r="C62">
        <v>4810</v>
      </c>
      <c r="D62">
        <v>160</v>
      </c>
      <c r="E62">
        <v>374</v>
      </c>
      <c r="F62">
        <v>210</v>
      </c>
      <c r="G62">
        <v>156</v>
      </c>
      <c r="I62" s="4">
        <v>20711</v>
      </c>
      <c r="J62" t="str">
        <f>VLOOKUP(I62,ZipToCntyTbl[#All],3,0)</f>
        <v>Anne Arundel</v>
      </c>
      <c r="K62" s="4">
        <v>80</v>
      </c>
    </row>
    <row r="63" spans="1:11" x14ac:dyDescent="0.3">
      <c r="A63">
        <v>20711</v>
      </c>
      <c r="B63" t="s">
        <v>1416</v>
      </c>
      <c r="C63">
        <v>3320</v>
      </c>
      <c r="D63">
        <v>60</v>
      </c>
      <c r="E63">
        <v>170</v>
      </c>
      <c r="F63">
        <v>80</v>
      </c>
      <c r="G63">
        <v>65</v>
      </c>
      <c r="I63" s="2">
        <v>20712</v>
      </c>
      <c r="J63" t="str">
        <f>VLOOKUP(I63,ZipToCntyTbl[#All],3,0)</f>
        <v>Prince Georges</v>
      </c>
      <c r="K63" s="2">
        <v>170</v>
      </c>
    </row>
    <row r="64" spans="1:11" x14ac:dyDescent="0.3">
      <c r="A64">
        <v>20712</v>
      </c>
      <c r="B64" t="s">
        <v>1416</v>
      </c>
      <c r="C64">
        <v>4730</v>
      </c>
      <c r="D64">
        <v>160</v>
      </c>
      <c r="E64">
        <v>425</v>
      </c>
      <c r="F64">
        <v>170</v>
      </c>
      <c r="G64">
        <v>119</v>
      </c>
      <c r="I64" s="4">
        <v>20714</v>
      </c>
      <c r="J64" t="str">
        <f>VLOOKUP(I64,ZipToCntyTbl[#All],3,0)</f>
        <v>Calvert</v>
      </c>
      <c r="K64" s="4">
        <v>50</v>
      </c>
    </row>
    <row r="65" spans="1:11" x14ac:dyDescent="0.3">
      <c r="A65">
        <v>20714</v>
      </c>
      <c r="B65" t="s">
        <v>1416</v>
      </c>
      <c r="C65">
        <v>2320</v>
      </c>
      <c r="D65">
        <v>30</v>
      </c>
      <c r="E65">
        <v>84</v>
      </c>
      <c r="F65">
        <v>50</v>
      </c>
      <c r="G65">
        <v>32</v>
      </c>
      <c r="I65" s="2">
        <v>20715</v>
      </c>
      <c r="J65" t="str">
        <f>VLOOKUP(I65,ZipToCntyTbl[#All],3,0)</f>
        <v>Prince Georges</v>
      </c>
      <c r="K65" s="2">
        <v>260</v>
      </c>
    </row>
    <row r="66" spans="1:11" x14ac:dyDescent="0.3">
      <c r="A66">
        <v>20715</v>
      </c>
      <c r="B66" t="s">
        <v>1416</v>
      </c>
      <c r="C66">
        <v>13130</v>
      </c>
      <c r="D66">
        <v>250</v>
      </c>
      <c r="E66">
        <v>750</v>
      </c>
      <c r="F66">
        <v>260</v>
      </c>
      <c r="G66">
        <v>200</v>
      </c>
      <c r="I66" s="4">
        <v>20716</v>
      </c>
      <c r="J66" t="str">
        <f>VLOOKUP(I66,ZipToCntyTbl[#All],3,0)</f>
        <v>Prince Georges</v>
      </c>
      <c r="K66" s="4">
        <v>230</v>
      </c>
    </row>
    <row r="67" spans="1:11" x14ac:dyDescent="0.3">
      <c r="A67">
        <v>20716</v>
      </c>
      <c r="B67" t="s">
        <v>1416</v>
      </c>
      <c r="C67">
        <v>11570</v>
      </c>
      <c r="D67">
        <v>240</v>
      </c>
      <c r="E67">
        <v>657</v>
      </c>
      <c r="F67">
        <v>230</v>
      </c>
      <c r="G67">
        <v>206</v>
      </c>
      <c r="I67" s="2">
        <v>20720</v>
      </c>
      <c r="J67" t="str">
        <f>VLOOKUP(I67,ZipToCntyTbl[#All],3,0)</f>
        <v>Prince Georges</v>
      </c>
      <c r="K67" s="2">
        <v>230</v>
      </c>
    </row>
    <row r="68" spans="1:11" x14ac:dyDescent="0.3">
      <c r="A68">
        <v>20720</v>
      </c>
      <c r="B68" t="s">
        <v>1416</v>
      </c>
      <c r="C68">
        <v>12250</v>
      </c>
      <c r="D68">
        <v>290</v>
      </c>
      <c r="E68">
        <v>1034</v>
      </c>
      <c r="F68">
        <v>230</v>
      </c>
      <c r="G68">
        <v>211</v>
      </c>
      <c r="I68" s="4">
        <v>20721</v>
      </c>
      <c r="J68" t="str">
        <f>VLOOKUP(I68,ZipToCntyTbl[#All],3,0)</f>
        <v>Prince Georges</v>
      </c>
      <c r="K68" s="4">
        <v>300</v>
      </c>
    </row>
    <row r="69" spans="1:11" x14ac:dyDescent="0.3">
      <c r="A69">
        <v>20721</v>
      </c>
      <c r="B69" t="s">
        <v>1416</v>
      </c>
      <c r="C69">
        <v>15510</v>
      </c>
      <c r="D69">
        <v>280</v>
      </c>
      <c r="E69">
        <v>785</v>
      </c>
      <c r="F69">
        <v>300</v>
      </c>
      <c r="G69">
        <v>261</v>
      </c>
      <c r="I69" s="2">
        <v>20722</v>
      </c>
      <c r="J69" t="str">
        <f>VLOOKUP(I69,ZipToCntyTbl[#All],3,0)</f>
        <v>Prince Georges</v>
      </c>
      <c r="K69" s="2">
        <v>150</v>
      </c>
    </row>
    <row r="70" spans="1:11" x14ac:dyDescent="0.3">
      <c r="A70">
        <v>20722</v>
      </c>
      <c r="B70" t="s">
        <v>1416</v>
      </c>
      <c r="C70">
        <v>3280</v>
      </c>
      <c r="D70">
        <v>120</v>
      </c>
      <c r="E70">
        <v>361</v>
      </c>
      <c r="F70">
        <v>150</v>
      </c>
      <c r="G70">
        <v>115</v>
      </c>
      <c r="I70" s="4">
        <v>20723</v>
      </c>
      <c r="J70" t="str">
        <f>VLOOKUP(I70,ZipToCntyTbl[#All],3,0)</f>
        <v>Howard</v>
      </c>
      <c r="K70" s="4">
        <v>390</v>
      </c>
    </row>
    <row r="71" spans="1:11" x14ac:dyDescent="0.3">
      <c r="A71">
        <v>20723</v>
      </c>
      <c r="B71" t="s">
        <v>1416</v>
      </c>
      <c r="C71">
        <v>15940</v>
      </c>
      <c r="D71">
        <v>510</v>
      </c>
      <c r="E71">
        <v>1901</v>
      </c>
      <c r="F71">
        <v>390</v>
      </c>
      <c r="G71">
        <v>314</v>
      </c>
      <c r="I71" s="2">
        <v>20724</v>
      </c>
      <c r="J71" t="str">
        <f>VLOOKUP(I71,ZipToCntyTbl[#All],3,0)</f>
        <v>Anne Arundel</v>
      </c>
      <c r="K71" s="2">
        <v>280</v>
      </c>
    </row>
    <row r="72" spans="1:11" x14ac:dyDescent="0.3">
      <c r="A72">
        <v>20724</v>
      </c>
      <c r="B72" t="s">
        <v>1416</v>
      </c>
      <c r="C72">
        <v>9270</v>
      </c>
      <c r="D72">
        <v>250</v>
      </c>
      <c r="E72">
        <v>776</v>
      </c>
      <c r="F72">
        <v>280</v>
      </c>
      <c r="G72">
        <v>217</v>
      </c>
      <c r="I72" s="4">
        <v>20732</v>
      </c>
      <c r="J72" t="str">
        <f>VLOOKUP(I72,ZipToCntyTbl[#All],3,0)</f>
        <v>Calvert</v>
      </c>
      <c r="K72" s="4">
        <v>70</v>
      </c>
    </row>
    <row r="73" spans="1:11" x14ac:dyDescent="0.3">
      <c r="A73">
        <v>20732</v>
      </c>
      <c r="B73" t="s">
        <v>1416</v>
      </c>
      <c r="C73">
        <v>5020</v>
      </c>
      <c r="D73">
        <v>70</v>
      </c>
      <c r="E73">
        <v>142</v>
      </c>
      <c r="F73">
        <v>70</v>
      </c>
      <c r="G73">
        <v>47</v>
      </c>
      <c r="I73" s="2">
        <v>20733</v>
      </c>
      <c r="J73" t="str">
        <f>VLOOKUP(I73,ZipToCntyTbl[#All],3,0)</f>
        <v>Anne Arundel</v>
      </c>
      <c r="K73" s="2">
        <v>0</v>
      </c>
    </row>
    <row r="74" spans="1:11" x14ac:dyDescent="0.3">
      <c r="A74">
        <v>20733</v>
      </c>
      <c r="B74" t="s">
        <v>1416</v>
      </c>
      <c r="C74">
        <v>1510</v>
      </c>
      <c r="D74">
        <v>30</v>
      </c>
      <c r="E74">
        <v>74</v>
      </c>
      <c r="F74">
        <v>0</v>
      </c>
      <c r="G74">
        <v>0</v>
      </c>
      <c r="I74" s="4">
        <v>20735</v>
      </c>
      <c r="J74" t="str">
        <f>VLOOKUP(I74,ZipToCntyTbl[#All],3,0)</f>
        <v>Prince Georges</v>
      </c>
      <c r="K74" s="4">
        <v>360</v>
      </c>
    </row>
    <row r="75" spans="1:11" x14ac:dyDescent="0.3">
      <c r="A75">
        <v>20735</v>
      </c>
      <c r="B75" t="s">
        <v>1416</v>
      </c>
      <c r="C75">
        <v>20150</v>
      </c>
      <c r="D75">
        <v>290</v>
      </c>
      <c r="E75">
        <v>873</v>
      </c>
      <c r="F75">
        <v>360</v>
      </c>
      <c r="G75">
        <v>283</v>
      </c>
      <c r="I75" s="2">
        <v>20736</v>
      </c>
      <c r="J75" t="str">
        <f>VLOOKUP(I75,ZipToCntyTbl[#All],3,0)</f>
        <v>Calvert</v>
      </c>
      <c r="K75" s="2">
        <v>60</v>
      </c>
    </row>
    <row r="76" spans="1:11" x14ac:dyDescent="0.3">
      <c r="A76">
        <v>20736</v>
      </c>
      <c r="B76" t="s">
        <v>1416</v>
      </c>
      <c r="C76">
        <v>4460</v>
      </c>
      <c r="D76">
        <v>60</v>
      </c>
      <c r="E76">
        <v>147</v>
      </c>
      <c r="F76">
        <v>60</v>
      </c>
      <c r="G76">
        <v>36</v>
      </c>
      <c r="I76" s="4">
        <v>20737</v>
      </c>
      <c r="J76" t="str">
        <f>VLOOKUP(I76,ZipToCntyTbl[#All],3,0)</f>
        <v>Prince Georges</v>
      </c>
      <c r="K76" s="4">
        <v>460</v>
      </c>
    </row>
    <row r="77" spans="1:11" x14ac:dyDescent="0.3">
      <c r="A77">
        <v>20737</v>
      </c>
      <c r="B77" t="s">
        <v>1416</v>
      </c>
      <c r="C77">
        <v>11650</v>
      </c>
      <c r="D77">
        <v>400</v>
      </c>
      <c r="E77">
        <v>1123</v>
      </c>
      <c r="F77">
        <v>460</v>
      </c>
      <c r="G77">
        <v>345</v>
      </c>
      <c r="I77" s="2">
        <v>20740</v>
      </c>
      <c r="J77" t="str">
        <f>VLOOKUP(I77,ZipToCntyTbl[#All],3,0)</f>
        <v>Prince Georges</v>
      </c>
      <c r="K77" s="2">
        <v>360</v>
      </c>
    </row>
    <row r="78" spans="1:11" x14ac:dyDescent="0.3">
      <c r="A78">
        <v>20740</v>
      </c>
      <c r="B78" t="s">
        <v>1416</v>
      </c>
      <c r="C78">
        <v>11440</v>
      </c>
      <c r="D78">
        <v>350</v>
      </c>
      <c r="E78">
        <v>908</v>
      </c>
      <c r="F78">
        <v>360</v>
      </c>
      <c r="G78">
        <v>245</v>
      </c>
      <c r="I78" s="4">
        <v>20743</v>
      </c>
      <c r="J78" t="str">
        <f>VLOOKUP(I78,ZipToCntyTbl[#All],3,0)</f>
        <v>Prince Georges</v>
      </c>
      <c r="K78" s="4">
        <v>430</v>
      </c>
    </row>
    <row r="79" spans="1:11" x14ac:dyDescent="0.3">
      <c r="A79">
        <v>20743</v>
      </c>
      <c r="B79" t="s">
        <v>1416</v>
      </c>
      <c r="C79">
        <v>19890</v>
      </c>
      <c r="D79">
        <v>330</v>
      </c>
      <c r="E79">
        <v>871</v>
      </c>
      <c r="F79">
        <v>430</v>
      </c>
      <c r="G79">
        <v>305</v>
      </c>
      <c r="I79" s="2">
        <v>20744</v>
      </c>
      <c r="J79" t="str">
        <f>VLOOKUP(I79,ZipToCntyTbl[#All],3,0)</f>
        <v>Prince Georges</v>
      </c>
      <c r="K79" s="2">
        <v>610</v>
      </c>
    </row>
    <row r="80" spans="1:11" x14ac:dyDescent="0.3">
      <c r="A80">
        <v>20744</v>
      </c>
      <c r="B80" t="s">
        <v>1416</v>
      </c>
      <c r="C80">
        <v>28270</v>
      </c>
      <c r="D80">
        <v>470</v>
      </c>
      <c r="E80">
        <v>1407</v>
      </c>
      <c r="F80">
        <v>610</v>
      </c>
      <c r="G80">
        <v>480</v>
      </c>
      <c r="I80" s="4">
        <v>20745</v>
      </c>
      <c r="J80" t="str">
        <f>VLOOKUP(I80,ZipToCntyTbl[#All],3,0)</f>
        <v>Prince Georges</v>
      </c>
      <c r="K80" s="4">
        <v>440</v>
      </c>
    </row>
    <row r="81" spans="1:11" x14ac:dyDescent="0.3">
      <c r="A81">
        <v>20745</v>
      </c>
      <c r="B81" t="s">
        <v>1416</v>
      </c>
      <c r="C81">
        <v>15770</v>
      </c>
      <c r="D81">
        <v>270</v>
      </c>
      <c r="E81">
        <v>709</v>
      </c>
      <c r="F81">
        <v>440</v>
      </c>
      <c r="G81">
        <v>316</v>
      </c>
      <c r="I81" s="2">
        <v>20746</v>
      </c>
      <c r="J81" t="str">
        <f>VLOOKUP(I81,ZipToCntyTbl[#All],3,0)</f>
        <v>Prince Georges</v>
      </c>
      <c r="K81" s="2">
        <v>360</v>
      </c>
    </row>
    <row r="82" spans="1:11" x14ac:dyDescent="0.3">
      <c r="A82">
        <v>20746</v>
      </c>
      <c r="B82" t="s">
        <v>1416</v>
      </c>
      <c r="C82">
        <v>15300</v>
      </c>
      <c r="D82">
        <v>240</v>
      </c>
      <c r="E82">
        <v>628</v>
      </c>
      <c r="F82">
        <v>360</v>
      </c>
      <c r="G82">
        <v>240</v>
      </c>
      <c r="I82" s="4">
        <v>20747</v>
      </c>
      <c r="J82" t="str">
        <f>VLOOKUP(I82,ZipToCntyTbl[#All],3,0)</f>
        <v>Prince Georges</v>
      </c>
      <c r="K82" s="4">
        <v>400</v>
      </c>
    </row>
    <row r="83" spans="1:11" x14ac:dyDescent="0.3">
      <c r="A83">
        <v>20747</v>
      </c>
      <c r="B83" t="s">
        <v>1416</v>
      </c>
      <c r="C83">
        <v>20380</v>
      </c>
      <c r="D83">
        <v>330</v>
      </c>
      <c r="E83">
        <v>636</v>
      </c>
      <c r="F83">
        <v>400</v>
      </c>
      <c r="G83">
        <v>282</v>
      </c>
      <c r="I83" s="2">
        <v>20748</v>
      </c>
      <c r="J83" t="str">
        <f>VLOOKUP(I83,ZipToCntyTbl[#All],3,0)</f>
        <v>Prince Georges</v>
      </c>
      <c r="K83" s="2">
        <v>430</v>
      </c>
    </row>
    <row r="84" spans="1:11" x14ac:dyDescent="0.3">
      <c r="A84">
        <v>20748</v>
      </c>
      <c r="B84" t="s">
        <v>1416</v>
      </c>
      <c r="C84">
        <v>20350</v>
      </c>
      <c r="D84">
        <v>290</v>
      </c>
      <c r="E84">
        <v>763</v>
      </c>
      <c r="F84">
        <v>430</v>
      </c>
      <c r="G84">
        <v>299</v>
      </c>
      <c r="I84" s="4">
        <v>20751</v>
      </c>
      <c r="J84" t="str">
        <f>VLOOKUP(I84,ZipToCntyTbl[#All],3,0)</f>
        <v>Anne Arundel</v>
      </c>
      <c r="K84" s="4">
        <v>20</v>
      </c>
    </row>
    <row r="85" spans="1:11" x14ac:dyDescent="0.3">
      <c r="A85">
        <v>20751</v>
      </c>
      <c r="B85" t="s">
        <v>1416</v>
      </c>
      <c r="C85">
        <v>1200</v>
      </c>
      <c r="D85">
        <v>20</v>
      </c>
      <c r="E85">
        <v>64</v>
      </c>
      <c r="F85">
        <v>20</v>
      </c>
      <c r="G85">
        <v>11</v>
      </c>
      <c r="I85" s="2">
        <v>20754</v>
      </c>
      <c r="J85" t="str">
        <f>VLOOKUP(I85,ZipToCntyTbl[#All],3,0)</f>
        <v>Calvert</v>
      </c>
      <c r="K85" s="2">
        <v>40</v>
      </c>
    </row>
    <row r="86" spans="1:11" x14ac:dyDescent="0.3">
      <c r="A86">
        <v>20754</v>
      </c>
      <c r="B86" t="s">
        <v>1416</v>
      </c>
      <c r="C86">
        <v>3560</v>
      </c>
      <c r="D86">
        <v>60</v>
      </c>
      <c r="E86">
        <v>170</v>
      </c>
      <c r="F86">
        <v>40</v>
      </c>
      <c r="G86">
        <v>24</v>
      </c>
      <c r="I86" s="4">
        <v>20755</v>
      </c>
      <c r="J86" t="str">
        <f>VLOOKUP(I86,ZipToCntyTbl[#All],3,0)</f>
        <v>Anne Arundel</v>
      </c>
      <c r="K86" s="4">
        <v>20</v>
      </c>
    </row>
    <row r="87" spans="1:11" x14ac:dyDescent="0.3">
      <c r="A87">
        <v>20755</v>
      </c>
      <c r="B87" t="s">
        <v>1416</v>
      </c>
      <c r="C87">
        <v>3820</v>
      </c>
      <c r="D87">
        <v>0</v>
      </c>
      <c r="E87">
        <v>0</v>
      </c>
      <c r="F87">
        <v>20</v>
      </c>
      <c r="G87">
        <v>8</v>
      </c>
      <c r="I87" s="2">
        <v>20758</v>
      </c>
      <c r="J87" t="str">
        <f>VLOOKUP(I87,ZipToCntyTbl[#All],3,0)</f>
        <v>Anne Arundel</v>
      </c>
      <c r="K87" s="2">
        <v>0</v>
      </c>
    </row>
    <row r="88" spans="1:11" x14ac:dyDescent="0.3">
      <c r="A88">
        <v>20758</v>
      </c>
      <c r="B88" t="s">
        <v>1416</v>
      </c>
      <c r="C88">
        <v>390</v>
      </c>
      <c r="D88">
        <v>0</v>
      </c>
      <c r="E88">
        <v>0</v>
      </c>
      <c r="F88">
        <v>0</v>
      </c>
      <c r="G88">
        <v>0</v>
      </c>
      <c r="I88" s="4">
        <v>20759</v>
      </c>
      <c r="J88" t="str">
        <f>VLOOKUP(I88,ZipToCntyTbl[#All],3,0)</f>
        <v>Howard</v>
      </c>
      <c r="K88" s="4">
        <v>40</v>
      </c>
    </row>
    <row r="89" spans="1:11" x14ac:dyDescent="0.3">
      <c r="A89">
        <v>20759</v>
      </c>
      <c r="B89" t="s">
        <v>1416</v>
      </c>
      <c r="C89">
        <v>2750</v>
      </c>
      <c r="D89">
        <v>40</v>
      </c>
      <c r="E89">
        <v>120</v>
      </c>
      <c r="F89">
        <v>40</v>
      </c>
      <c r="G89">
        <v>34</v>
      </c>
      <c r="I89" s="2">
        <v>20762</v>
      </c>
      <c r="J89" t="str">
        <f>VLOOKUP(I89,ZipToCntyTbl[#All],3,0)</f>
        <v>Prince Georges</v>
      </c>
      <c r="K89" s="2">
        <v>0</v>
      </c>
    </row>
    <row r="90" spans="1:11" x14ac:dyDescent="0.3">
      <c r="A90">
        <v>20762</v>
      </c>
      <c r="B90" t="s">
        <v>1416</v>
      </c>
      <c r="C90">
        <v>1230</v>
      </c>
      <c r="D90">
        <v>0</v>
      </c>
      <c r="E90">
        <v>0</v>
      </c>
      <c r="F90">
        <v>0</v>
      </c>
      <c r="G90">
        <v>0</v>
      </c>
      <c r="I90" s="4">
        <v>20763</v>
      </c>
      <c r="J90" t="str">
        <f>VLOOKUP(I90,ZipToCntyTbl[#All],3,0)</f>
        <v>Howard</v>
      </c>
      <c r="K90" s="4">
        <v>40</v>
      </c>
    </row>
    <row r="91" spans="1:11" x14ac:dyDescent="0.3">
      <c r="A91">
        <v>20763</v>
      </c>
      <c r="B91" t="s">
        <v>1416</v>
      </c>
      <c r="C91">
        <v>1340</v>
      </c>
      <c r="D91">
        <v>60</v>
      </c>
      <c r="E91">
        <v>175</v>
      </c>
      <c r="F91">
        <v>40</v>
      </c>
      <c r="G91">
        <v>23</v>
      </c>
      <c r="I91" s="2">
        <v>20764</v>
      </c>
      <c r="J91" t="str">
        <f>VLOOKUP(I91,ZipToCntyTbl[#All],3,0)</f>
        <v>Anne Arundel</v>
      </c>
      <c r="K91" s="2">
        <v>60</v>
      </c>
    </row>
    <row r="92" spans="1:11" x14ac:dyDescent="0.3">
      <c r="A92">
        <v>20764</v>
      </c>
      <c r="B92" t="s">
        <v>1416</v>
      </c>
      <c r="C92">
        <v>2170</v>
      </c>
      <c r="D92">
        <v>40</v>
      </c>
      <c r="E92">
        <v>140</v>
      </c>
      <c r="F92">
        <v>60</v>
      </c>
      <c r="G92">
        <v>43</v>
      </c>
      <c r="I92" s="4">
        <v>20769</v>
      </c>
      <c r="J92" t="str">
        <f>VLOOKUP(I92,ZipToCntyTbl[#All],3,0)</f>
        <v>Prince Georges</v>
      </c>
      <c r="K92" s="4">
        <v>100</v>
      </c>
    </row>
    <row r="93" spans="1:11" x14ac:dyDescent="0.3">
      <c r="A93">
        <v>20769</v>
      </c>
      <c r="B93" t="s">
        <v>1416</v>
      </c>
      <c r="C93">
        <v>3660</v>
      </c>
      <c r="D93">
        <v>70</v>
      </c>
      <c r="E93">
        <v>175</v>
      </c>
      <c r="F93">
        <v>100</v>
      </c>
      <c r="G93">
        <v>76</v>
      </c>
      <c r="I93" s="2">
        <v>20770</v>
      </c>
      <c r="J93" t="str">
        <f>VLOOKUP(I93,ZipToCntyTbl[#All],3,0)</f>
        <v>Prince Georges</v>
      </c>
      <c r="K93" s="2">
        <v>380</v>
      </c>
    </row>
    <row r="94" spans="1:11" x14ac:dyDescent="0.3">
      <c r="A94">
        <v>20770</v>
      </c>
      <c r="B94" t="s">
        <v>1416</v>
      </c>
      <c r="C94">
        <v>13410</v>
      </c>
      <c r="D94">
        <v>410</v>
      </c>
      <c r="E94">
        <v>1169</v>
      </c>
      <c r="F94">
        <v>380</v>
      </c>
      <c r="G94">
        <v>263</v>
      </c>
      <c r="I94" s="4">
        <v>20772</v>
      </c>
      <c r="J94" t="str">
        <f>VLOOKUP(I94,ZipToCntyTbl[#All],3,0)</f>
        <v>Prince Georges</v>
      </c>
      <c r="K94" s="4">
        <v>370</v>
      </c>
    </row>
    <row r="95" spans="1:11" x14ac:dyDescent="0.3">
      <c r="A95">
        <v>20772</v>
      </c>
      <c r="B95" t="s">
        <v>1416</v>
      </c>
      <c r="C95">
        <v>24270</v>
      </c>
      <c r="D95">
        <v>310</v>
      </c>
      <c r="E95">
        <v>846</v>
      </c>
      <c r="F95">
        <v>370</v>
      </c>
      <c r="G95">
        <v>279</v>
      </c>
      <c r="I95" s="2">
        <v>20774</v>
      </c>
      <c r="J95" t="str">
        <f>VLOOKUP(I95,ZipToCntyTbl[#All],3,0)</f>
        <v>Prince Georges</v>
      </c>
      <c r="K95" s="2">
        <v>440</v>
      </c>
    </row>
    <row r="96" spans="1:11" x14ac:dyDescent="0.3">
      <c r="A96">
        <v>20774</v>
      </c>
      <c r="B96" t="s">
        <v>1416</v>
      </c>
      <c r="C96">
        <v>26320</v>
      </c>
      <c r="D96">
        <v>450</v>
      </c>
      <c r="E96">
        <v>1435</v>
      </c>
      <c r="F96">
        <v>440</v>
      </c>
      <c r="G96">
        <v>348</v>
      </c>
      <c r="I96" s="4">
        <v>20776</v>
      </c>
      <c r="J96" t="str">
        <f>VLOOKUP(I96,ZipToCntyTbl[#All],3,0)</f>
        <v>Anne Arundel</v>
      </c>
      <c r="K96" s="4">
        <v>20</v>
      </c>
    </row>
    <row r="97" spans="1:11" x14ac:dyDescent="0.3">
      <c r="A97">
        <v>20776</v>
      </c>
      <c r="B97" t="s">
        <v>1416</v>
      </c>
      <c r="C97">
        <v>1620</v>
      </c>
      <c r="D97">
        <v>30</v>
      </c>
      <c r="E97">
        <v>97</v>
      </c>
      <c r="F97">
        <v>20</v>
      </c>
      <c r="G97">
        <v>14</v>
      </c>
      <c r="I97" s="2">
        <v>20777</v>
      </c>
      <c r="J97" t="str">
        <f>VLOOKUP(I97,ZipToCntyTbl[#All],3,0)</f>
        <v>Howard</v>
      </c>
      <c r="K97" s="2">
        <v>0</v>
      </c>
    </row>
    <row r="98" spans="1:11" x14ac:dyDescent="0.3">
      <c r="A98">
        <v>20777</v>
      </c>
      <c r="B98" t="s">
        <v>1416</v>
      </c>
      <c r="C98">
        <v>1690</v>
      </c>
      <c r="D98">
        <v>30</v>
      </c>
      <c r="E98">
        <v>137</v>
      </c>
      <c r="F98">
        <v>0</v>
      </c>
      <c r="G98">
        <v>0</v>
      </c>
      <c r="I98" s="4">
        <v>20778</v>
      </c>
      <c r="J98" t="str">
        <f>VLOOKUP(I98,ZipToCntyTbl[#All],3,0)</f>
        <v>Anne Arundel</v>
      </c>
      <c r="K98" s="4">
        <v>0</v>
      </c>
    </row>
    <row r="99" spans="1:11" x14ac:dyDescent="0.3">
      <c r="A99">
        <v>20778</v>
      </c>
      <c r="B99" t="s">
        <v>1416</v>
      </c>
      <c r="C99">
        <v>920</v>
      </c>
      <c r="D99">
        <v>0</v>
      </c>
      <c r="E99">
        <v>0</v>
      </c>
      <c r="F99">
        <v>0</v>
      </c>
      <c r="G99">
        <v>0</v>
      </c>
      <c r="I99" s="2">
        <v>20779</v>
      </c>
      <c r="J99" t="str">
        <f>VLOOKUP(I99,ZipToCntyTbl[#All],3,0)</f>
        <v>Anne Arundel</v>
      </c>
      <c r="K99" s="2">
        <v>0</v>
      </c>
    </row>
    <row r="100" spans="1:11" x14ac:dyDescent="0.3">
      <c r="A100">
        <v>20779</v>
      </c>
      <c r="B100" t="s">
        <v>1416</v>
      </c>
      <c r="C100">
        <v>640</v>
      </c>
      <c r="D100">
        <v>0</v>
      </c>
      <c r="E100">
        <v>0</v>
      </c>
      <c r="F100">
        <v>0</v>
      </c>
      <c r="G100">
        <v>0</v>
      </c>
      <c r="I100" s="4">
        <v>20781</v>
      </c>
      <c r="J100" t="str">
        <f>VLOOKUP(I100,ZipToCntyTbl[#All],3,0)</f>
        <v>Prince Georges</v>
      </c>
      <c r="K100" s="4">
        <v>280</v>
      </c>
    </row>
    <row r="101" spans="1:11" x14ac:dyDescent="0.3">
      <c r="A101">
        <v>20781</v>
      </c>
      <c r="B101" t="s">
        <v>1416</v>
      </c>
      <c r="C101">
        <v>7040</v>
      </c>
      <c r="D101">
        <v>210</v>
      </c>
      <c r="E101">
        <v>596</v>
      </c>
      <c r="F101">
        <v>280</v>
      </c>
      <c r="G101">
        <v>197</v>
      </c>
      <c r="I101" s="2">
        <v>20782</v>
      </c>
      <c r="J101" t="str">
        <f>VLOOKUP(I101,ZipToCntyTbl[#All],3,0)</f>
        <v>Prince Georges</v>
      </c>
      <c r="K101" s="2">
        <v>670</v>
      </c>
    </row>
    <row r="102" spans="1:11" x14ac:dyDescent="0.3">
      <c r="A102">
        <v>20782</v>
      </c>
      <c r="B102" t="s">
        <v>1416</v>
      </c>
      <c r="C102">
        <v>17470</v>
      </c>
      <c r="D102">
        <v>570</v>
      </c>
      <c r="E102">
        <v>1674</v>
      </c>
      <c r="F102">
        <v>670</v>
      </c>
      <c r="G102">
        <v>511</v>
      </c>
      <c r="I102" s="4">
        <v>20783</v>
      </c>
      <c r="J102" t="str">
        <f>VLOOKUP(I102,ZipToCntyTbl[#All],3,0)</f>
        <v>Prince Georges</v>
      </c>
      <c r="K102" s="4">
        <v>1050</v>
      </c>
    </row>
    <row r="103" spans="1:11" x14ac:dyDescent="0.3">
      <c r="A103">
        <v>20783</v>
      </c>
      <c r="B103" t="s">
        <v>1416</v>
      </c>
      <c r="C103">
        <v>25070</v>
      </c>
      <c r="D103">
        <v>970</v>
      </c>
      <c r="E103">
        <v>2934</v>
      </c>
      <c r="F103">
        <v>1050</v>
      </c>
      <c r="G103">
        <v>807</v>
      </c>
      <c r="I103" s="2">
        <v>20784</v>
      </c>
      <c r="J103" t="str">
        <f>VLOOKUP(I103,ZipToCntyTbl[#All],3,0)</f>
        <v>Prince Georges</v>
      </c>
      <c r="K103" s="2">
        <v>770</v>
      </c>
    </row>
    <row r="104" spans="1:11" x14ac:dyDescent="0.3">
      <c r="A104">
        <v>20784</v>
      </c>
      <c r="B104" t="s">
        <v>1416</v>
      </c>
      <c r="C104">
        <v>17240</v>
      </c>
      <c r="D104">
        <v>640</v>
      </c>
      <c r="E104">
        <v>1796</v>
      </c>
      <c r="F104">
        <v>770</v>
      </c>
      <c r="G104">
        <v>578</v>
      </c>
      <c r="I104" s="4">
        <v>20785</v>
      </c>
      <c r="J104" t="str">
        <f>VLOOKUP(I104,ZipToCntyTbl[#All],3,0)</f>
        <v>Prince Georges</v>
      </c>
      <c r="K104" s="4">
        <v>570</v>
      </c>
    </row>
    <row r="105" spans="1:11" x14ac:dyDescent="0.3">
      <c r="A105">
        <v>20785</v>
      </c>
      <c r="B105" t="s">
        <v>1416</v>
      </c>
      <c r="C105">
        <v>20480</v>
      </c>
      <c r="D105">
        <v>540</v>
      </c>
      <c r="E105">
        <v>1313</v>
      </c>
      <c r="F105">
        <v>570</v>
      </c>
      <c r="G105">
        <v>427</v>
      </c>
      <c r="I105" s="2">
        <v>20794</v>
      </c>
      <c r="J105" t="str">
        <f>VLOOKUP(I105,ZipToCntyTbl[#All],3,0)</f>
        <v>Howard</v>
      </c>
      <c r="K105" s="2">
        <v>140</v>
      </c>
    </row>
    <row r="106" spans="1:11" x14ac:dyDescent="0.3">
      <c r="A106">
        <v>20794</v>
      </c>
      <c r="B106" t="s">
        <v>1416</v>
      </c>
      <c r="C106">
        <v>5520</v>
      </c>
      <c r="D106">
        <v>150</v>
      </c>
      <c r="E106">
        <v>519</v>
      </c>
      <c r="F106">
        <v>140</v>
      </c>
      <c r="G106">
        <v>105</v>
      </c>
      <c r="I106" s="4">
        <v>20812</v>
      </c>
      <c r="J106" t="str">
        <f>VLOOKUP(I106,ZipToCntyTbl[#All],3,0)</f>
        <v>Montgomery</v>
      </c>
      <c r="K106" s="4">
        <v>0</v>
      </c>
    </row>
    <row r="107" spans="1:11" x14ac:dyDescent="0.3">
      <c r="A107">
        <v>20812</v>
      </c>
      <c r="B107" t="s">
        <v>1416</v>
      </c>
      <c r="C107">
        <v>180</v>
      </c>
      <c r="D107">
        <v>0</v>
      </c>
      <c r="E107">
        <v>0</v>
      </c>
      <c r="F107">
        <v>0</v>
      </c>
      <c r="G107">
        <v>0</v>
      </c>
      <c r="I107" s="2">
        <v>20814</v>
      </c>
      <c r="J107" t="str">
        <f>VLOOKUP(I107,ZipToCntyTbl[#All],3,0)</f>
        <v>Montgomery</v>
      </c>
      <c r="K107" s="2">
        <v>200</v>
      </c>
    </row>
    <row r="108" spans="1:11" x14ac:dyDescent="0.3">
      <c r="A108">
        <v>20814</v>
      </c>
      <c r="B108" t="s">
        <v>1416</v>
      </c>
      <c r="C108">
        <v>15150</v>
      </c>
      <c r="D108">
        <v>310</v>
      </c>
      <c r="E108">
        <v>901</v>
      </c>
      <c r="F108">
        <v>200</v>
      </c>
      <c r="G108">
        <v>145</v>
      </c>
      <c r="I108" s="4">
        <v>20815</v>
      </c>
      <c r="J108" t="str">
        <f>VLOOKUP(I108,ZipToCntyTbl[#All],3,0)</f>
        <v>Montgomery</v>
      </c>
      <c r="K108" s="4">
        <v>150</v>
      </c>
    </row>
    <row r="109" spans="1:11" x14ac:dyDescent="0.3">
      <c r="A109">
        <v>20815</v>
      </c>
      <c r="B109" t="s">
        <v>1416</v>
      </c>
      <c r="C109">
        <v>14570</v>
      </c>
      <c r="D109">
        <v>220</v>
      </c>
      <c r="E109">
        <v>721</v>
      </c>
      <c r="F109">
        <v>150</v>
      </c>
      <c r="G109">
        <v>142</v>
      </c>
      <c r="I109" s="2">
        <v>20816</v>
      </c>
      <c r="J109" t="str">
        <f>VLOOKUP(I109,ZipToCntyTbl[#All],3,0)</f>
        <v>Montgomery</v>
      </c>
      <c r="K109" s="2">
        <v>60</v>
      </c>
    </row>
    <row r="110" spans="1:11" x14ac:dyDescent="0.3">
      <c r="A110">
        <v>20816</v>
      </c>
      <c r="B110" t="s">
        <v>1416</v>
      </c>
      <c r="C110">
        <v>7470</v>
      </c>
      <c r="D110">
        <v>140</v>
      </c>
      <c r="E110">
        <v>496</v>
      </c>
      <c r="F110">
        <v>60</v>
      </c>
      <c r="G110">
        <v>74</v>
      </c>
      <c r="I110" s="4">
        <v>20817</v>
      </c>
      <c r="J110" t="str">
        <f>VLOOKUP(I110,ZipToCntyTbl[#All],3,0)</f>
        <v>Montgomery</v>
      </c>
      <c r="K110" s="4">
        <v>170</v>
      </c>
    </row>
    <row r="111" spans="1:11" x14ac:dyDescent="0.3">
      <c r="A111">
        <v>20817</v>
      </c>
      <c r="B111" t="s">
        <v>1416</v>
      </c>
      <c r="C111">
        <v>16500</v>
      </c>
      <c r="D111">
        <v>310</v>
      </c>
      <c r="E111">
        <v>1134</v>
      </c>
      <c r="F111">
        <v>170</v>
      </c>
      <c r="G111">
        <v>178</v>
      </c>
      <c r="I111" s="2">
        <v>20818</v>
      </c>
      <c r="J111" t="str">
        <f>VLOOKUP(I111,ZipToCntyTbl[#All],3,0)</f>
        <v>Montgomery</v>
      </c>
      <c r="K111" s="2">
        <v>0</v>
      </c>
    </row>
    <row r="112" spans="1:11" x14ac:dyDescent="0.3">
      <c r="A112">
        <v>20818</v>
      </c>
      <c r="B112" t="s">
        <v>1416</v>
      </c>
      <c r="C112">
        <v>860</v>
      </c>
      <c r="D112">
        <v>20</v>
      </c>
      <c r="E112">
        <v>67</v>
      </c>
      <c r="F112">
        <v>0</v>
      </c>
      <c r="G112">
        <v>0</v>
      </c>
      <c r="I112" s="4">
        <v>20832</v>
      </c>
      <c r="J112" t="str">
        <f>VLOOKUP(I112,ZipToCntyTbl[#All],3,0)</f>
        <v>Montgomery</v>
      </c>
      <c r="K112" s="4">
        <v>180</v>
      </c>
    </row>
    <row r="113" spans="1:11" x14ac:dyDescent="0.3">
      <c r="A113">
        <v>20832</v>
      </c>
      <c r="B113" t="s">
        <v>1416</v>
      </c>
      <c r="C113">
        <v>12560</v>
      </c>
      <c r="D113">
        <v>370</v>
      </c>
      <c r="E113">
        <v>1369</v>
      </c>
      <c r="F113">
        <v>180</v>
      </c>
      <c r="G113">
        <v>147</v>
      </c>
      <c r="I113" s="2">
        <v>20833</v>
      </c>
      <c r="J113" t="str">
        <f>VLOOKUP(I113,ZipToCntyTbl[#All],3,0)</f>
        <v>Montgomery</v>
      </c>
      <c r="K113" s="2">
        <v>50</v>
      </c>
    </row>
    <row r="114" spans="1:11" x14ac:dyDescent="0.3">
      <c r="A114">
        <v>20833</v>
      </c>
      <c r="B114" t="s">
        <v>1416</v>
      </c>
      <c r="C114">
        <v>3710</v>
      </c>
      <c r="D114">
        <v>80</v>
      </c>
      <c r="E114">
        <v>276</v>
      </c>
      <c r="F114">
        <v>50</v>
      </c>
      <c r="G114">
        <v>44</v>
      </c>
      <c r="I114" s="4">
        <v>20837</v>
      </c>
      <c r="J114" t="str">
        <f>VLOOKUP(I114,ZipToCntyTbl[#All],3,0)</f>
        <v>Montgomery</v>
      </c>
      <c r="K114" s="4">
        <v>50</v>
      </c>
    </row>
    <row r="115" spans="1:11" x14ac:dyDescent="0.3">
      <c r="A115">
        <v>20837</v>
      </c>
      <c r="B115" t="s">
        <v>1416</v>
      </c>
      <c r="C115">
        <v>3110</v>
      </c>
      <c r="D115">
        <v>70</v>
      </c>
      <c r="E115">
        <v>185</v>
      </c>
      <c r="F115">
        <v>50</v>
      </c>
      <c r="G115">
        <v>31</v>
      </c>
      <c r="I115" s="2">
        <v>20838</v>
      </c>
      <c r="J115" t="str">
        <f>VLOOKUP(I115,ZipToCntyTbl[#All],3,0)</f>
        <v>Montgomery</v>
      </c>
      <c r="K115" s="2">
        <v>0</v>
      </c>
    </row>
    <row r="116" spans="1:11" x14ac:dyDescent="0.3">
      <c r="A116">
        <v>20838</v>
      </c>
      <c r="B116" t="s">
        <v>1416</v>
      </c>
      <c r="C116">
        <v>150</v>
      </c>
      <c r="D116">
        <v>0</v>
      </c>
      <c r="E116">
        <v>0</v>
      </c>
      <c r="F116">
        <v>0</v>
      </c>
      <c r="G116">
        <v>0</v>
      </c>
      <c r="I116" s="4">
        <v>20839</v>
      </c>
      <c r="J116" t="str">
        <f>VLOOKUP(I116,ZipToCntyTbl[#All],3,0)</f>
        <v>Montgomery</v>
      </c>
      <c r="K116" s="4">
        <v>0</v>
      </c>
    </row>
    <row r="117" spans="1:11" x14ac:dyDescent="0.3">
      <c r="A117">
        <v>20839</v>
      </c>
      <c r="B117" t="s">
        <v>1416</v>
      </c>
      <c r="C117">
        <v>130</v>
      </c>
      <c r="D117">
        <v>0</v>
      </c>
      <c r="E117">
        <v>0</v>
      </c>
      <c r="F117">
        <v>0</v>
      </c>
      <c r="G117">
        <v>0</v>
      </c>
      <c r="I117" s="2">
        <v>20841</v>
      </c>
      <c r="J117" t="str">
        <f>VLOOKUP(I117,ZipToCntyTbl[#All],3,0)</f>
        <v>Montgomery</v>
      </c>
      <c r="K117" s="2">
        <v>80</v>
      </c>
    </row>
    <row r="118" spans="1:11" x14ac:dyDescent="0.3">
      <c r="A118">
        <v>20841</v>
      </c>
      <c r="B118" t="s">
        <v>1416</v>
      </c>
      <c r="C118">
        <v>4120</v>
      </c>
      <c r="D118">
        <v>130</v>
      </c>
      <c r="E118">
        <v>719</v>
      </c>
      <c r="F118">
        <v>80</v>
      </c>
      <c r="G118">
        <v>71</v>
      </c>
      <c r="I118" s="4">
        <v>20842</v>
      </c>
      <c r="J118" t="str">
        <f>VLOOKUP(I118,ZipToCntyTbl[#All],3,0)</f>
        <v>Montgomery</v>
      </c>
      <c r="K118" s="4">
        <v>20</v>
      </c>
    </row>
    <row r="119" spans="1:11" x14ac:dyDescent="0.3">
      <c r="A119">
        <v>20842</v>
      </c>
      <c r="B119" t="s">
        <v>1416</v>
      </c>
      <c r="C119">
        <v>890</v>
      </c>
      <c r="D119">
        <v>30</v>
      </c>
      <c r="E119">
        <v>104</v>
      </c>
      <c r="F119">
        <v>20</v>
      </c>
      <c r="G119">
        <v>13</v>
      </c>
      <c r="I119" s="2">
        <v>20850</v>
      </c>
      <c r="J119" t="str">
        <f>VLOOKUP(I119,ZipToCntyTbl[#All],3,0)</f>
        <v>Montgomery</v>
      </c>
      <c r="K119" s="2">
        <v>560</v>
      </c>
    </row>
    <row r="120" spans="1:11" x14ac:dyDescent="0.3">
      <c r="A120">
        <v>20850</v>
      </c>
      <c r="B120" t="s">
        <v>1416</v>
      </c>
      <c r="C120">
        <v>23460</v>
      </c>
      <c r="D120">
        <v>740</v>
      </c>
      <c r="E120">
        <v>2829</v>
      </c>
      <c r="F120">
        <v>560</v>
      </c>
      <c r="G120">
        <v>450</v>
      </c>
      <c r="I120" s="4">
        <v>20851</v>
      </c>
      <c r="J120" t="str">
        <f>VLOOKUP(I120,ZipToCntyTbl[#All],3,0)</f>
        <v>Montgomery</v>
      </c>
      <c r="K120" s="4">
        <v>310</v>
      </c>
    </row>
    <row r="121" spans="1:11" x14ac:dyDescent="0.3">
      <c r="A121">
        <v>20851</v>
      </c>
      <c r="B121" t="s">
        <v>1416</v>
      </c>
      <c r="C121">
        <v>7860</v>
      </c>
      <c r="D121">
        <v>380</v>
      </c>
      <c r="E121">
        <v>1354</v>
      </c>
      <c r="F121">
        <v>310</v>
      </c>
      <c r="G121">
        <v>233</v>
      </c>
      <c r="I121" s="2">
        <v>20852</v>
      </c>
      <c r="J121" t="str">
        <f>VLOOKUP(I121,ZipToCntyTbl[#All],3,0)</f>
        <v>Montgomery</v>
      </c>
      <c r="K121" s="2">
        <v>510</v>
      </c>
    </row>
    <row r="122" spans="1:11" x14ac:dyDescent="0.3">
      <c r="A122">
        <v>20852</v>
      </c>
      <c r="B122" t="s">
        <v>1416</v>
      </c>
      <c r="C122">
        <v>22850</v>
      </c>
      <c r="D122">
        <v>710</v>
      </c>
      <c r="E122">
        <v>2482</v>
      </c>
      <c r="F122">
        <v>510</v>
      </c>
      <c r="G122">
        <v>429</v>
      </c>
      <c r="I122" s="4">
        <v>20853</v>
      </c>
      <c r="J122" t="str">
        <f>VLOOKUP(I122,ZipToCntyTbl[#All],3,0)</f>
        <v>Montgomery</v>
      </c>
      <c r="K122" s="4">
        <v>480</v>
      </c>
    </row>
    <row r="123" spans="1:11" x14ac:dyDescent="0.3">
      <c r="A123">
        <v>20853</v>
      </c>
      <c r="B123" t="s">
        <v>1416</v>
      </c>
      <c r="C123">
        <v>15710</v>
      </c>
      <c r="D123">
        <v>710</v>
      </c>
      <c r="E123">
        <v>2518</v>
      </c>
      <c r="F123">
        <v>480</v>
      </c>
      <c r="G123">
        <v>393</v>
      </c>
      <c r="I123" s="2">
        <v>20854</v>
      </c>
      <c r="J123" t="str">
        <f>VLOOKUP(I123,ZipToCntyTbl[#All],3,0)</f>
        <v>Montgomery</v>
      </c>
      <c r="K123" s="2">
        <v>220</v>
      </c>
    </row>
    <row r="124" spans="1:11" x14ac:dyDescent="0.3">
      <c r="A124">
        <v>20854</v>
      </c>
      <c r="B124" t="s">
        <v>1416</v>
      </c>
      <c r="C124">
        <v>22620</v>
      </c>
      <c r="D124">
        <v>410</v>
      </c>
      <c r="E124">
        <v>1780</v>
      </c>
      <c r="F124">
        <v>220</v>
      </c>
      <c r="G124">
        <v>248</v>
      </c>
      <c r="I124" s="4">
        <v>20855</v>
      </c>
      <c r="J124" t="str">
        <f>VLOOKUP(I124,ZipToCntyTbl[#All],3,0)</f>
        <v>Montgomery</v>
      </c>
      <c r="K124" s="4">
        <v>160</v>
      </c>
    </row>
    <row r="125" spans="1:11" x14ac:dyDescent="0.3">
      <c r="A125">
        <v>20855</v>
      </c>
      <c r="B125" t="s">
        <v>1416</v>
      </c>
      <c r="C125">
        <v>7870</v>
      </c>
      <c r="D125">
        <v>220</v>
      </c>
      <c r="E125">
        <v>851</v>
      </c>
      <c r="F125">
        <v>160</v>
      </c>
      <c r="G125">
        <v>140</v>
      </c>
      <c r="I125" s="2">
        <v>20860</v>
      </c>
      <c r="J125" t="str">
        <f>VLOOKUP(I125,ZipToCntyTbl[#All],3,0)</f>
        <v>Montgomery</v>
      </c>
      <c r="K125" s="2">
        <v>0</v>
      </c>
    </row>
    <row r="126" spans="1:11" x14ac:dyDescent="0.3">
      <c r="A126">
        <v>20860</v>
      </c>
      <c r="B126" t="s">
        <v>1416</v>
      </c>
      <c r="C126">
        <v>970</v>
      </c>
      <c r="D126">
        <v>0</v>
      </c>
      <c r="E126">
        <v>0</v>
      </c>
      <c r="F126">
        <v>0</v>
      </c>
      <c r="G126">
        <v>0</v>
      </c>
      <c r="I126" s="4">
        <v>20861</v>
      </c>
      <c r="J126" t="str">
        <f>VLOOKUP(I126,ZipToCntyTbl[#All],3,0)</f>
        <v>Montgomery</v>
      </c>
      <c r="K126" s="4">
        <v>0</v>
      </c>
    </row>
    <row r="127" spans="1:11" x14ac:dyDescent="0.3">
      <c r="A127">
        <v>20861</v>
      </c>
      <c r="B127" t="s">
        <v>1416</v>
      </c>
      <c r="C127">
        <v>1050</v>
      </c>
      <c r="D127">
        <v>0</v>
      </c>
      <c r="E127">
        <v>0</v>
      </c>
      <c r="F127">
        <v>0</v>
      </c>
      <c r="G127">
        <v>0</v>
      </c>
      <c r="I127" s="2">
        <v>20862</v>
      </c>
      <c r="J127" t="str">
        <f>VLOOKUP(I127,ZipToCntyTbl[#All],3,0)</f>
        <v>Montgomery</v>
      </c>
      <c r="K127" s="2">
        <v>0</v>
      </c>
    </row>
    <row r="128" spans="1:11" x14ac:dyDescent="0.3">
      <c r="A128">
        <v>20862</v>
      </c>
      <c r="B128" t="s">
        <v>1416</v>
      </c>
      <c r="C128">
        <v>210</v>
      </c>
      <c r="D128">
        <v>0</v>
      </c>
      <c r="E128">
        <v>0</v>
      </c>
      <c r="F128">
        <v>0</v>
      </c>
      <c r="G128">
        <v>0</v>
      </c>
      <c r="I128" s="4">
        <v>20866</v>
      </c>
      <c r="J128" t="str">
        <f>VLOOKUP(I128,ZipToCntyTbl[#All],3,0)</f>
        <v>Montgomery</v>
      </c>
      <c r="K128" s="4">
        <v>220</v>
      </c>
    </row>
    <row r="129" spans="1:11" x14ac:dyDescent="0.3">
      <c r="A129">
        <v>20866</v>
      </c>
      <c r="B129" t="s">
        <v>1416</v>
      </c>
      <c r="C129">
        <v>7500</v>
      </c>
      <c r="D129">
        <v>340</v>
      </c>
      <c r="E129">
        <v>1248</v>
      </c>
      <c r="F129">
        <v>220</v>
      </c>
      <c r="G129">
        <v>188</v>
      </c>
      <c r="I129" s="2">
        <v>20868</v>
      </c>
      <c r="J129" t="str">
        <f>VLOOKUP(I129,ZipToCntyTbl[#All],3,0)</f>
        <v>Montgomery</v>
      </c>
      <c r="K129" s="2">
        <v>0</v>
      </c>
    </row>
    <row r="130" spans="1:11" x14ac:dyDescent="0.3">
      <c r="A130">
        <v>20868</v>
      </c>
      <c r="B130" t="s">
        <v>1416</v>
      </c>
      <c r="C130">
        <v>400</v>
      </c>
      <c r="D130">
        <v>0</v>
      </c>
      <c r="E130">
        <v>0</v>
      </c>
      <c r="F130">
        <v>0</v>
      </c>
      <c r="G130">
        <v>0</v>
      </c>
      <c r="I130" s="4">
        <v>20871</v>
      </c>
      <c r="J130" t="str">
        <f>VLOOKUP(I130,ZipToCntyTbl[#All],3,0)</f>
        <v>Montgomery</v>
      </c>
      <c r="K130" s="4">
        <v>210</v>
      </c>
    </row>
    <row r="131" spans="1:11" x14ac:dyDescent="0.3">
      <c r="A131">
        <v>20871</v>
      </c>
      <c r="B131" t="s">
        <v>1416</v>
      </c>
      <c r="C131">
        <v>10060</v>
      </c>
      <c r="D131">
        <v>350</v>
      </c>
      <c r="E131">
        <v>1311</v>
      </c>
      <c r="F131">
        <v>210</v>
      </c>
      <c r="G131">
        <v>199</v>
      </c>
      <c r="I131" s="2">
        <v>20872</v>
      </c>
      <c r="J131" t="str">
        <f>VLOOKUP(I131,ZipToCntyTbl[#All],3,0)</f>
        <v>Montgomery</v>
      </c>
      <c r="K131" s="2">
        <v>130</v>
      </c>
    </row>
    <row r="132" spans="1:11" x14ac:dyDescent="0.3">
      <c r="A132">
        <v>20872</v>
      </c>
      <c r="B132" t="s">
        <v>1416</v>
      </c>
      <c r="C132">
        <v>6490</v>
      </c>
      <c r="D132">
        <v>190</v>
      </c>
      <c r="E132">
        <v>630</v>
      </c>
      <c r="F132">
        <v>130</v>
      </c>
      <c r="G132">
        <v>83</v>
      </c>
      <c r="I132" s="4">
        <v>20874</v>
      </c>
      <c r="J132" t="str">
        <f>VLOOKUP(I132,ZipToCntyTbl[#All],3,0)</f>
        <v>Montgomery</v>
      </c>
      <c r="K132" s="4">
        <v>910</v>
      </c>
    </row>
    <row r="133" spans="1:11" x14ac:dyDescent="0.3">
      <c r="A133">
        <v>20874</v>
      </c>
      <c r="B133" t="s">
        <v>1416</v>
      </c>
      <c r="C133">
        <v>30620</v>
      </c>
      <c r="D133">
        <v>1340</v>
      </c>
      <c r="E133">
        <v>4764</v>
      </c>
      <c r="F133">
        <v>910</v>
      </c>
      <c r="G133">
        <v>686</v>
      </c>
      <c r="I133" s="2">
        <v>20876</v>
      </c>
      <c r="J133" t="str">
        <f>VLOOKUP(I133,ZipToCntyTbl[#All],3,0)</f>
        <v>Montgomery</v>
      </c>
      <c r="K133" s="2">
        <v>400</v>
      </c>
    </row>
    <row r="134" spans="1:11" x14ac:dyDescent="0.3">
      <c r="A134">
        <v>20876</v>
      </c>
      <c r="B134" t="s">
        <v>1416</v>
      </c>
      <c r="C134">
        <v>12810</v>
      </c>
      <c r="D134">
        <v>590</v>
      </c>
      <c r="E134">
        <v>2200</v>
      </c>
      <c r="F134">
        <v>400</v>
      </c>
      <c r="G134">
        <v>313</v>
      </c>
      <c r="I134" s="4">
        <v>20877</v>
      </c>
      <c r="J134" t="str">
        <f>VLOOKUP(I134,ZipToCntyTbl[#All],3,0)</f>
        <v>Montgomery</v>
      </c>
      <c r="K134" s="4">
        <v>800</v>
      </c>
    </row>
    <row r="135" spans="1:11" x14ac:dyDescent="0.3">
      <c r="A135">
        <v>20877</v>
      </c>
      <c r="B135" t="s">
        <v>1416</v>
      </c>
      <c r="C135">
        <v>19610</v>
      </c>
      <c r="D135">
        <v>960</v>
      </c>
      <c r="E135">
        <v>3340</v>
      </c>
      <c r="F135">
        <v>800</v>
      </c>
      <c r="G135">
        <v>596</v>
      </c>
      <c r="I135" s="2">
        <v>20878</v>
      </c>
      <c r="J135" t="str">
        <f>VLOOKUP(I135,ZipToCntyTbl[#All],3,0)</f>
        <v>Montgomery</v>
      </c>
      <c r="K135" s="2">
        <v>650</v>
      </c>
    </row>
    <row r="136" spans="1:11" x14ac:dyDescent="0.3">
      <c r="A136">
        <v>20878</v>
      </c>
      <c r="B136" t="s">
        <v>1416</v>
      </c>
      <c r="C136">
        <v>30820</v>
      </c>
      <c r="D136">
        <v>1100</v>
      </c>
      <c r="E136">
        <v>4407</v>
      </c>
      <c r="F136">
        <v>650</v>
      </c>
      <c r="G136">
        <v>499</v>
      </c>
      <c r="I136" s="4">
        <v>20879</v>
      </c>
      <c r="J136" t="str">
        <f>VLOOKUP(I136,ZipToCntyTbl[#All],3,0)</f>
        <v>Montgomery</v>
      </c>
      <c r="K136" s="4">
        <v>460</v>
      </c>
    </row>
    <row r="137" spans="1:11" x14ac:dyDescent="0.3">
      <c r="A137">
        <v>20879</v>
      </c>
      <c r="B137" t="s">
        <v>1416</v>
      </c>
      <c r="C137">
        <v>13380</v>
      </c>
      <c r="D137">
        <v>630</v>
      </c>
      <c r="E137">
        <v>2185</v>
      </c>
      <c r="F137">
        <v>460</v>
      </c>
      <c r="G137">
        <v>343</v>
      </c>
      <c r="I137" s="2">
        <v>20882</v>
      </c>
      <c r="J137" t="str">
        <f>VLOOKUP(I137,ZipToCntyTbl[#All],3,0)</f>
        <v>Montgomery</v>
      </c>
      <c r="K137" s="2">
        <v>90</v>
      </c>
    </row>
    <row r="138" spans="1:11" x14ac:dyDescent="0.3">
      <c r="A138">
        <v>20882</v>
      </c>
      <c r="B138" t="s">
        <v>1416</v>
      </c>
      <c r="C138">
        <v>6820</v>
      </c>
      <c r="D138">
        <v>150</v>
      </c>
      <c r="E138">
        <v>547</v>
      </c>
      <c r="F138">
        <v>90</v>
      </c>
      <c r="G138">
        <v>84</v>
      </c>
      <c r="I138" s="4">
        <v>20886</v>
      </c>
      <c r="J138" t="str">
        <f>VLOOKUP(I138,ZipToCntyTbl[#All],3,0)</f>
        <v>Montgomery</v>
      </c>
      <c r="K138" s="4">
        <v>620</v>
      </c>
    </row>
    <row r="139" spans="1:11" x14ac:dyDescent="0.3">
      <c r="A139">
        <v>20886</v>
      </c>
      <c r="B139" t="s">
        <v>1416</v>
      </c>
      <c r="C139">
        <v>18120</v>
      </c>
      <c r="D139">
        <v>880</v>
      </c>
      <c r="E139">
        <v>3059</v>
      </c>
      <c r="F139">
        <v>620</v>
      </c>
      <c r="G139">
        <v>455</v>
      </c>
      <c r="I139" s="2">
        <v>20895</v>
      </c>
      <c r="J139" t="str">
        <f>VLOOKUP(I139,ZipToCntyTbl[#All],3,0)</f>
        <v>Montgomery</v>
      </c>
      <c r="K139" s="2">
        <v>130</v>
      </c>
    </row>
    <row r="140" spans="1:11" x14ac:dyDescent="0.3">
      <c r="A140">
        <v>20895</v>
      </c>
      <c r="B140" t="s">
        <v>1416</v>
      </c>
      <c r="C140">
        <v>9230</v>
      </c>
      <c r="D140">
        <v>230</v>
      </c>
      <c r="E140">
        <v>762</v>
      </c>
      <c r="F140">
        <v>130</v>
      </c>
      <c r="G140">
        <v>100</v>
      </c>
      <c r="I140" s="4">
        <v>20901</v>
      </c>
      <c r="J140" t="str">
        <f>VLOOKUP(I140,ZipToCntyTbl[#All],3,0)</f>
        <v>Montgomery</v>
      </c>
      <c r="K140" s="4">
        <v>550</v>
      </c>
    </row>
    <row r="141" spans="1:11" x14ac:dyDescent="0.3">
      <c r="A141">
        <v>20901</v>
      </c>
      <c r="B141" t="s">
        <v>1416</v>
      </c>
      <c r="C141">
        <v>18600</v>
      </c>
      <c r="D141">
        <v>860</v>
      </c>
      <c r="E141">
        <v>2838</v>
      </c>
      <c r="F141">
        <v>550</v>
      </c>
      <c r="G141">
        <v>387</v>
      </c>
      <c r="I141" s="2">
        <v>20902</v>
      </c>
      <c r="J141" t="str">
        <f>VLOOKUP(I141,ZipToCntyTbl[#All],3,0)</f>
        <v>Montgomery</v>
      </c>
      <c r="K141" s="2">
        <v>1010</v>
      </c>
    </row>
    <row r="142" spans="1:11" x14ac:dyDescent="0.3">
      <c r="A142">
        <v>20902</v>
      </c>
      <c r="B142" t="s">
        <v>1416</v>
      </c>
      <c r="C142">
        <v>27190</v>
      </c>
      <c r="D142">
        <v>1260</v>
      </c>
      <c r="E142">
        <v>4083</v>
      </c>
      <c r="F142">
        <v>1010</v>
      </c>
      <c r="G142">
        <v>796</v>
      </c>
      <c r="I142" s="4">
        <v>20903</v>
      </c>
      <c r="J142" t="str">
        <f>VLOOKUP(I142,ZipToCntyTbl[#All],3,0)</f>
        <v>Montgomery</v>
      </c>
      <c r="K142" s="4">
        <v>570</v>
      </c>
    </row>
    <row r="143" spans="1:11" x14ac:dyDescent="0.3">
      <c r="A143">
        <v>20903</v>
      </c>
      <c r="B143" t="s">
        <v>1416</v>
      </c>
      <c r="C143">
        <v>12700</v>
      </c>
      <c r="D143">
        <v>720</v>
      </c>
      <c r="E143">
        <v>2333</v>
      </c>
      <c r="F143">
        <v>570</v>
      </c>
      <c r="G143">
        <v>427</v>
      </c>
      <c r="I143" s="2">
        <v>20904</v>
      </c>
      <c r="J143" t="str">
        <f>VLOOKUP(I143,ZipToCntyTbl[#All],3,0)</f>
        <v>Montgomery</v>
      </c>
      <c r="K143" s="2">
        <v>950</v>
      </c>
    </row>
    <row r="144" spans="1:11" x14ac:dyDescent="0.3">
      <c r="A144">
        <v>20904</v>
      </c>
      <c r="B144" t="s">
        <v>1416</v>
      </c>
      <c r="C144">
        <v>29900</v>
      </c>
      <c r="D144">
        <v>1350</v>
      </c>
      <c r="E144">
        <v>4480</v>
      </c>
      <c r="F144">
        <v>950</v>
      </c>
      <c r="G144">
        <v>745</v>
      </c>
      <c r="I144" s="4">
        <v>20905</v>
      </c>
      <c r="J144" t="str">
        <f>VLOOKUP(I144,ZipToCntyTbl[#All],3,0)</f>
        <v>Montgomery</v>
      </c>
      <c r="K144" s="4">
        <v>200</v>
      </c>
    </row>
    <row r="145" spans="1:11" x14ac:dyDescent="0.3">
      <c r="A145">
        <v>20905</v>
      </c>
      <c r="B145" t="s">
        <v>1416</v>
      </c>
      <c r="C145">
        <v>9380</v>
      </c>
      <c r="D145">
        <v>330</v>
      </c>
      <c r="E145">
        <v>1372</v>
      </c>
      <c r="F145">
        <v>200</v>
      </c>
      <c r="G145">
        <v>176</v>
      </c>
      <c r="I145" s="2">
        <v>20906</v>
      </c>
      <c r="J145" t="str">
        <f>VLOOKUP(I145,ZipToCntyTbl[#All],3,0)</f>
        <v>Montgomery</v>
      </c>
      <c r="K145" s="2">
        <v>1280</v>
      </c>
    </row>
    <row r="146" spans="1:11" x14ac:dyDescent="0.3">
      <c r="A146">
        <v>20906</v>
      </c>
      <c r="B146" t="s">
        <v>1416</v>
      </c>
      <c r="C146">
        <v>37790</v>
      </c>
      <c r="D146">
        <v>1730</v>
      </c>
      <c r="E146">
        <v>5886</v>
      </c>
      <c r="F146">
        <v>1280</v>
      </c>
      <c r="G146">
        <v>1010</v>
      </c>
      <c r="I146" s="4">
        <v>20910</v>
      </c>
      <c r="J146" t="str">
        <f>VLOOKUP(I146,ZipToCntyTbl[#All],3,0)</f>
        <v>Montgomery</v>
      </c>
      <c r="K146" s="4">
        <v>570</v>
      </c>
    </row>
    <row r="147" spans="1:11" x14ac:dyDescent="0.3">
      <c r="A147">
        <v>20910</v>
      </c>
      <c r="B147" t="s">
        <v>1416</v>
      </c>
      <c r="C147">
        <v>23130</v>
      </c>
      <c r="D147">
        <v>770</v>
      </c>
      <c r="E147">
        <v>1972</v>
      </c>
      <c r="F147">
        <v>570</v>
      </c>
      <c r="G147">
        <v>394</v>
      </c>
      <c r="I147" s="2">
        <v>20912</v>
      </c>
      <c r="J147" t="str">
        <f>VLOOKUP(I147,ZipToCntyTbl[#All],3,0)</f>
        <v>Montgomery</v>
      </c>
      <c r="K147" s="2">
        <v>450</v>
      </c>
    </row>
    <row r="148" spans="1:11" x14ac:dyDescent="0.3">
      <c r="A148">
        <v>20912</v>
      </c>
      <c r="B148" t="s">
        <v>1416</v>
      </c>
      <c r="C148">
        <v>12970</v>
      </c>
      <c r="D148">
        <v>670</v>
      </c>
      <c r="E148">
        <v>1936</v>
      </c>
      <c r="F148">
        <v>450</v>
      </c>
      <c r="G148">
        <v>336</v>
      </c>
      <c r="I148" s="4">
        <v>21001</v>
      </c>
      <c r="J148" t="str">
        <f>VLOOKUP(I148,ZipToCntyTbl[#All],3,0)</f>
        <v>Harford</v>
      </c>
      <c r="K148" s="4">
        <v>310</v>
      </c>
    </row>
    <row r="149" spans="1:11" x14ac:dyDescent="0.3">
      <c r="A149">
        <v>21001</v>
      </c>
      <c r="B149" t="s">
        <v>1416</v>
      </c>
      <c r="C149">
        <v>12010</v>
      </c>
      <c r="D149">
        <v>240</v>
      </c>
      <c r="E149">
        <v>678</v>
      </c>
      <c r="F149">
        <v>310</v>
      </c>
      <c r="G149">
        <v>211</v>
      </c>
      <c r="I149" s="2">
        <v>21005</v>
      </c>
      <c r="J149" t="str">
        <f>VLOOKUP(I149,ZipToCntyTbl[#All],3,0)</f>
        <v>Harford</v>
      </c>
      <c r="K149" s="2">
        <v>0</v>
      </c>
    </row>
    <row r="150" spans="1:11" x14ac:dyDescent="0.3">
      <c r="A150">
        <v>21005</v>
      </c>
      <c r="B150" t="s">
        <v>1416</v>
      </c>
      <c r="C150">
        <v>920</v>
      </c>
      <c r="D150">
        <v>0</v>
      </c>
      <c r="E150">
        <v>0</v>
      </c>
      <c r="F150">
        <v>0</v>
      </c>
      <c r="G150">
        <v>0</v>
      </c>
      <c r="I150" s="4">
        <v>21009</v>
      </c>
      <c r="J150" t="str">
        <f>VLOOKUP(I150,ZipToCntyTbl[#All],3,0)</f>
        <v>Harford</v>
      </c>
      <c r="K150" s="4">
        <v>300</v>
      </c>
    </row>
    <row r="151" spans="1:11" x14ac:dyDescent="0.3">
      <c r="A151">
        <v>21009</v>
      </c>
      <c r="B151" t="s">
        <v>1416</v>
      </c>
      <c r="C151">
        <v>15110</v>
      </c>
      <c r="D151">
        <v>320</v>
      </c>
      <c r="E151">
        <v>1004</v>
      </c>
      <c r="F151">
        <v>300</v>
      </c>
      <c r="G151">
        <v>213</v>
      </c>
      <c r="I151" s="2">
        <v>21012</v>
      </c>
      <c r="J151" t="str">
        <f>VLOOKUP(I151,ZipToCntyTbl[#All],3,0)</f>
        <v>Anne Arundel</v>
      </c>
      <c r="K151" s="2">
        <v>160</v>
      </c>
    </row>
    <row r="152" spans="1:11" x14ac:dyDescent="0.3">
      <c r="A152">
        <v>21012</v>
      </c>
      <c r="B152" t="s">
        <v>1416</v>
      </c>
      <c r="C152">
        <v>10750</v>
      </c>
      <c r="D152">
        <v>210</v>
      </c>
      <c r="E152">
        <v>595</v>
      </c>
      <c r="F152">
        <v>160</v>
      </c>
      <c r="G152">
        <v>111</v>
      </c>
      <c r="I152" s="4">
        <v>21013</v>
      </c>
      <c r="J152" t="str">
        <f>VLOOKUP(I152,ZipToCntyTbl[#All],3,0)</f>
        <v>Baltimore</v>
      </c>
      <c r="K152" s="4">
        <v>0</v>
      </c>
    </row>
    <row r="153" spans="1:11" x14ac:dyDescent="0.3">
      <c r="A153">
        <v>21013</v>
      </c>
      <c r="B153" t="s">
        <v>1416</v>
      </c>
      <c r="C153">
        <v>2300</v>
      </c>
      <c r="D153">
        <v>30</v>
      </c>
      <c r="E153">
        <v>90</v>
      </c>
      <c r="F153">
        <v>0</v>
      </c>
      <c r="G153">
        <v>0</v>
      </c>
      <c r="I153" s="2">
        <v>21014</v>
      </c>
      <c r="J153" t="str">
        <f>VLOOKUP(I153,ZipToCntyTbl[#All],3,0)</f>
        <v>Harford</v>
      </c>
      <c r="K153" s="2">
        <v>300</v>
      </c>
    </row>
    <row r="154" spans="1:11" x14ac:dyDescent="0.3">
      <c r="A154">
        <v>21014</v>
      </c>
      <c r="B154" t="s">
        <v>1416</v>
      </c>
      <c r="C154">
        <v>18530</v>
      </c>
      <c r="D154">
        <v>360</v>
      </c>
      <c r="E154">
        <v>1029</v>
      </c>
      <c r="F154">
        <v>300</v>
      </c>
      <c r="G154">
        <v>213</v>
      </c>
      <c r="I154" s="4">
        <v>21015</v>
      </c>
      <c r="J154" t="str">
        <f>VLOOKUP(I154,ZipToCntyTbl[#All],3,0)</f>
        <v>Harford</v>
      </c>
      <c r="K154" s="4">
        <v>210</v>
      </c>
    </row>
    <row r="155" spans="1:11" x14ac:dyDescent="0.3">
      <c r="A155">
        <v>21015</v>
      </c>
      <c r="B155" t="s">
        <v>1416</v>
      </c>
      <c r="C155">
        <v>14460</v>
      </c>
      <c r="D155">
        <v>260</v>
      </c>
      <c r="E155">
        <v>817</v>
      </c>
      <c r="F155">
        <v>210</v>
      </c>
      <c r="G155">
        <v>170</v>
      </c>
      <c r="I155" s="2">
        <v>21017</v>
      </c>
      <c r="J155" t="str">
        <f>VLOOKUP(I155,ZipToCntyTbl[#All],3,0)</f>
        <v>Harford</v>
      </c>
      <c r="K155" s="2">
        <v>80</v>
      </c>
    </row>
    <row r="156" spans="1:11" x14ac:dyDescent="0.3">
      <c r="A156">
        <v>21017</v>
      </c>
      <c r="B156" t="s">
        <v>1416</v>
      </c>
      <c r="C156">
        <v>3240</v>
      </c>
      <c r="D156">
        <v>50</v>
      </c>
      <c r="E156">
        <v>124</v>
      </c>
      <c r="F156">
        <v>80</v>
      </c>
      <c r="G156">
        <v>44</v>
      </c>
      <c r="I156" s="4">
        <v>21028</v>
      </c>
      <c r="J156" t="str">
        <f>VLOOKUP(I156,ZipToCntyTbl[#All],3,0)</f>
        <v>Harford</v>
      </c>
      <c r="K156" s="4">
        <v>0</v>
      </c>
    </row>
    <row r="157" spans="1:11" x14ac:dyDescent="0.3">
      <c r="A157">
        <v>21028</v>
      </c>
      <c r="B157" t="s">
        <v>1416</v>
      </c>
      <c r="C157">
        <v>1590</v>
      </c>
      <c r="D157">
        <v>30</v>
      </c>
      <c r="E157">
        <v>73</v>
      </c>
      <c r="F157">
        <v>0</v>
      </c>
      <c r="G157">
        <v>0</v>
      </c>
      <c r="I157" s="2">
        <v>21029</v>
      </c>
      <c r="J157" t="str">
        <f>VLOOKUP(I157,ZipToCntyTbl[#All],3,0)</f>
        <v>Howard</v>
      </c>
      <c r="K157" s="2">
        <v>60</v>
      </c>
    </row>
    <row r="158" spans="1:11" x14ac:dyDescent="0.3">
      <c r="A158">
        <v>21029</v>
      </c>
      <c r="B158" t="s">
        <v>1416</v>
      </c>
      <c r="C158">
        <v>5580</v>
      </c>
      <c r="D158">
        <v>100</v>
      </c>
      <c r="E158">
        <v>508</v>
      </c>
      <c r="F158">
        <v>60</v>
      </c>
      <c r="G158">
        <v>67</v>
      </c>
      <c r="I158" s="4">
        <v>21030</v>
      </c>
      <c r="J158" t="str">
        <f>VLOOKUP(I158,ZipToCntyTbl[#All],3,0)</f>
        <v>Baltimore</v>
      </c>
      <c r="K158" s="4">
        <v>350</v>
      </c>
    </row>
    <row r="159" spans="1:11" x14ac:dyDescent="0.3">
      <c r="A159">
        <v>21030</v>
      </c>
      <c r="B159" t="s">
        <v>1416</v>
      </c>
      <c r="C159">
        <v>13200</v>
      </c>
      <c r="D159">
        <v>330</v>
      </c>
      <c r="E159">
        <v>1099</v>
      </c>
      <c r="F159">
        <v>350</v>
      </c>
      <c r="G159">
        <v>228</v>
      </c>
      <c r="I159" s="2">
        <v>21032</v>
      </c>
      <c r="J159" t="str">
        <f>VLOOKUP(I159,ZipToCntyTbl[#All],3,0)</f>
        <v>Anne Arundel</v>
      </c>
      <c r="K159" s="2">
        <v>80</v>
      </c>
    </row>
    <row r="160" spans="1:11" x14ac:dyDescent="0.3">
      <c r="A160">
        <v>21032</v>
      </c>
      <c r="B160" t="s">
        <v>1416</v>
      </c>
      <c r="C160">
        <v>4500</v>
      </c>
      <c r="D160">
        <v>100</v>
      </c>
      <c r="E160">
        <v>309</v>
      </c>
      <c r="F160">
        <v>80</v>
      </c>
      <c r="G160">
        <v>56</v>
      </c>
      <c r="I160" s="4">
        <v>21034</v>
      </c>
      <c r="J160" t="str">
        <f>VLOOKUP(I160,ZipToCntyTbl[#All],3,0)</f>
        <v>Harford</v>
      </c>
      <c r="K160" s="4">
        <v>30</v>
      </c>
    </row>
    <row r="161" spans="1:11" x14ac:dyDescent="0.3">
      <c r="A161">
        <v>21034</v>
      </c>
      <c r="B161" t="s">
        <v>1416</v>
      </c>
      <c r="C161">
        <v>1690</v>
      </c>
      <c r="D161">
        <v>40</v>
      </c>
      <c r="E161">
        <v>138</v>
      </c>
      <c r="F161">
        <v>30</v>
      </c>
      <c r="G161">
        <v>19</v>
      </c>
      <c r="I161" s="2">
        <v>21035</v>
      </c>
      <c r="J161" t="str">
        <f>VLOOKUP(I161,ZipToCntyTbl[#All],3,0)</f>
        <v>Anne Arundel</v>
      </c>
      <c r="K161" s="2">
        <v>40</v>
      </c>
    </row>
    <row r="162" spans="1:11" x14ac:dyDescent="0.3">
      <c r="A162">
        <v>21035</v>
      </c>
      <c r="B162" t="s">
        <v>1416</v>
      </c>
      <c r="C162">
        <v>4050</v>
      </c>
      <c r="D162">
        <v>50</v>
      </c>
      <c r="E162">
        <v>162</v>
      </c>
      <c r="F162">
        <v>40</v>
      </c>
      <c r="G162">
        <v>32</v>
      </c>
      <c r="I162" s="4">
        <v>21036</v>
      </c>
      <c r="J162" t="str">
        <f>VLOOKUP(I162,ZipToCntyTbl[#All],3,0)</f>
        <v>Howard</v>
      </c>
      <c r="K162" s="4">
        <v>0</v>
      </c>
    </row>
    <row r="163" spans="1:11" x14ac:dyDescent="0.3">
      <c r="A163">
        <v>21036</v>
      </c>
      <c r="B163" t="s">
        <v>1416</v>
      </c>
      <c r="C163">
        <v>1060</v>
      </c>
      <c r="D163">
        <v>0</v>
      </c>
      <c r="E163">
        <v>0</v>
      </c>
      <c r="F163">
        <v>0</v>
      </c>
      <c r="G163">
        <v>0</v>
      </c>
      <c r="I163" s="2">
        <v>21037</v>
      </c>
      <c r="J163" t="str">
        <f>VLOOKUP(I163,ZipToCntyTbl[#All],3,0)</f>
        <v>Anne Arundel</v>
      </c>
      <c r="K163" s="2">
        <v>170</v>
      </c>
    </row>
    <row r="164" spans="1:11" x14ac:dyDescent="0.3">
      <c r="A164">
        <v>21037</v>
      </c>
      <c r="B164" t="s">
        <v>1416</v>
      </c>
      <c r="C164">
        <v>10570</v>
      </c>
      <c r="D164">
        <v>220</v>
      </c>
      <c r="E164">
        <v>651</v>
      </c>
      <c r="F164">
        <v>170</v>
      </c>
      <c r="G164">
        <v>153</v>
      </c>
      <c r="I164" s="4">
        <v>21040</v>
      </c>
      <c r="J164" t="str">
        <f>VLOOKUP(I164,ZipToCntyTbl[#All],3,0)</f>
        <v>Harford</v>
      </c>
      <c r="K164" s="4">
        <v>320</v>
      </c>
    </row>
    <row r="165" spans="1:11" x14ac:dyDescent="0.3">
      <c r="A165">
        <v>21040</v>
      </c>
      <c r="B165" t="s">
        <v>1416</v>
      </c>
      <c r="C165">
        <v>11440</v>
      </c>
      <c r="D165">
        <v>250</v>
      </c>
      <c r="E165">
        <v>692</v>
      </c>
      <c r="F165">
        <v>320</v>
      </c>
      <c r="G165">
        <v>205</v>
      </c>
      <c r="I165" s="2">
        <v>21042</v>
      </c>
      <c r="J165" t="str">
        <f>VLOOKUP(I165,ZipToCntyTbl[#All],3,0)</f>
        <v>Howard</v>
      </c>
      <c r="K165" s="2">
        <v>230</v>
      </c>
    </row>
    <row r="166" spans="1:11" x14ac:dyDescent="0.3">
      <c r="A166">
        <v>21042</v>
      </c>
      <c r="B166" t="s">
        <v>1416</v>
      </c>
      <c r="C166">
        <v>19180</v>
      </c>
      <c r="D166">
        <v>420</v>
      </c>
      <c r="E166">
        <v>1622</v>
      </c>
      <c r="F166">
        <v>230</v>
      </c>
      <c r="G166">
        <v>214</v>
      </c>
      <c r="I166" s="4">
        <v>21043</v>
      </c>
      <c r="J166" t="str">
        <f>VLOOKUP(I166,ZipToCntyTbl[#All],3,0)</f>
        <v>Howard</v>
      </c>
      <c r="K166" s="4">
        <v>460</v>
      </c>
    </row>
    <row r="167" spans="1:11" x14ac:dyDescent="0.3">
      <c r="A167">
        <v>21043</v>
      </c>
      <c r="B167" t="s">
        <v>1416</v>
      </c>
      <c r="C167">
        <v>21540</v>
      </c>
      <c r="D167">
        <v>690</v>
      </c>
      <c r="E167">
        <v>2659</v>
      </c>
      <c r="F167">
        <v>460</v>
      </c>
      <c r="G167">
        <v>433</v>
      </c>
      <c r="I167" s="2">
        <v>21044</v>
      </c>
      <c r="J167" t="str">
        <f>VLOOKUP(I167,ZipToCntyTbl[#All],3,0)</f>
        <v>Howard</v>
      </c>
      <c r="K167" s="2">
        <v>400</v>
      </c>
    </row>
    <row r="168" spans="1:11" x14ac:dyDescent="0.3">
      <c r="A168">
        <v>21044</v>
      </c>
      <c r="B168" t="s">
        <v>1416</v>
      </c>
      <c r="C168">
        <v>21730</v>
      </c>
      <c r="D168">
        <v>510</v>
      </c>
      <c r="E168">
        <v>1599</v>
      </c>
      <c r="F168">
        <v>400</v>
      </c>
      <c r="G168">
        <v>302</v>
      </c>
      <c r="I168" s="4">
        <v>21045</v>
      </c>
      <c r="J168" t="str">
        <f>VLOOKUP(I168,ZipToCntyTbl[#All],3,0)</f>
        <v>Howard</v>
      </c>
      <c r="K168" s="4">
        <v>450</v>
      </c>
    </row>
    <row r="169" spans="1:11" x14ac:dyDescent="0.3">
      <c r="A169">
        <v>21045</v>
      </c>
      <c r="B169" t="s">
        <v>1416</v>
      </c>
      <c r="C169">
        <v>19550</v>
      </c>
      <c r="D169">
        <v>530</v>
      </c>
      <c r="E169">
        <v>1750</v>
      </c>
      <c r="F169">
        <v>450</v>
      </c>
      <c r="G169">
        <v>319</v>
      </c>
      <c r="I169" s="2">
        <v>21046</v>
      </c>
      <c r="J169" t="str">
        <f>VLOOKUP(I169,ZipToCntyTbl[#All],3,0)</f>
        <v>Howard</v>
      </c>
      <c r="K169" s="2">
        <v>150</v>
      </c>
    </row>
    <row r="170" spans="1:11" x14ac:dyDescent="0.3">
      <c r="A170">
        <v>21046</v>
      </c>
      <c r="B170" t="s">
        <v>1416</v>
      </c>
      <c r="C170">
        <v>7900</v>
      </c>
      <c r="D170">
        <v>180</v>
      </c>
      <c r="E170">
        <v>536</v>
      </c>
      <c r="F170">
        <v>150</v>
      </c>
      <c r="G170">
        <v>111</v>
      </c>
      <c r="I170" s="4">
        <v>21047</v>
      </c>
      <c r="J170" t="str">
        <f>VLOOKUP(I170,ZipToCntyTbl[#All],3,0)</f>
        <v>Harford</v>
      </c>
      <c r="K170" s="4">
        <v>60</v>
      </c>
    </row>
    <row r="171" spans="1:11" x14ac:dyDescent="0.3">
      <c r="A171">
        <v>21047</v>
      </c>
      <c r="B171" t="s">
        <v>1416</v>
      </c>
      <c r="C171">
        <v>6230</v>
      </c>
      <c r="D171">
        <v>110</v>
      </c>
      <c r="E171">
        <v>368</v>
      </c>
      <c r="F171">
        <v>60</v>
      </c>
      <c r="G171">
        <v>53</v>
      </c>
      <c r="I171" s="2">
        <v>21048</v>
      </c>
      <c r="J171" t="str">
        <f>VLOOKUP(I171,ZipToCntyTbl[#All],3,0)</f>
        <v>Carroll</v>
      </c>
      <c r="K171" s="2">
        <v>90</v>
      </c>
    </row>
    <row r="172" spans="1:11" x14ac:dyDescent="0.3">
      <c r="A172">
        <v>21048</v>
      </c>
      <c r="B172" t="s">
        <v>1416</v>
      </c>
      <c r="C172">
        <v>5280</v>
      </c>
      <c r="D172">
        <v>110</v>
      </c>
      <c r="E172">
        <v>396</v>
      </c>
      <c r="F172">
        <v>90</v>
      </c>
      <c r="G172">
        <v>60</v>
      </c>
      <c r="I172" s="4">
        <v>21050</v>
      </c>
      <c r="J172" t="str">
        <f>VLOOKUP(I172,ZipToCntyTbl[#All],3,0)</f>
        <v>Harford</v>
      </c>
      <c r="K172" s="4">
        <v>140</v>
      </c>
    </row>
    <row r="173" spans="1:11" x14ac:dyDescent="0.3">
      <c r="A173">
        <v>21050</v>
      </c>
      <c r="B173" t="s">
        <v>1416</v>
      </c>
      <c r="C173">
        <v>9350</v>
      </c>
      <c r="D173">
        <v>150</v>
      </c>
      <c r="E173">
        <v>538</v>
      </c>
      <c r="F173">
        <v>140</v>
      </c>
      <c r="G173">
        <v>99</v>
      </c>
      <c r="I173" s="2">
        <v>21051</v>
      </c>
      <c r="J173" t="str">
        <f>VLOOKUP(I173,ZipToCntyTbl[#All],3,0)</f>
        <v>Baltimore</v>
      </c>
      <c r="K173" s="2">
        <v>0</v>
      </c>
    </row>
    <row r="174" spans="1:11" x14ac:dyDescent="0.3">
      <c r="A174">
        <v>21051</v>
      </c>
      <c r="B174" t="s">
        <v>1416</v>
      </c>
      <c r="C174">
        <v>170</v>
      </c>
      <c r="D174">
        <v>0</v>
      </c>
      <c r="E174">
        <v>0</v>
      </c>
      <c r="F174">
        <v>0</v>
      </c>
      <c r="G174">
        <v>0</v>
      </c>
      <c r="I174" s="4">
        <v>21053</v>
      </c>
      <c r="J174" t="str">
        <f>VLOOKUP(I174,ZipToCntyTbl[#All],3,0)</f>
        <v>Baltimore</v>
      </c>
      <c r="K174" s="4">
        <v>0</v>
      </c>
    </row>
    <row r="175" spans="1:11" x14ac:dyDescent="0.3">
      <c r="A175">
        <v>21053</v>
      </c>
      <c r="B175" t="s">
        <v>1416</v>
      </c>
      <c r="C175">
        <v>1560</v>
      </c>
      <c r="D175">
        <v>30</v>
      </c>
      <c r="E175">
        <v>106</v>
      </c>
      <c r="F175">
        <v>0</v>
      </c>
      <c r="G175">
        <v>0</v>
      </c>
      <c r="I175" s="2">
        <v>21054</v>
      </c>
      <c r="J175" t="str">
        <f>VLOOKUP(I175,ZipToCntyTbl[#All],3,0)</f>
        <v>Anne Arundel</v>
      </c>
      <c r="K175" s="2">
        <v>90</v>
      </c>
    </row>
    <row r="176" spans="1:11" x14ac:dyDescent="0.3">
      <c r="A176">
        <v>21054</v>
      </c>
      <c r="B176" t="s">
        <v>1416</v>
      </c>
      <c r="C176">
        <v>6100</v>
      </c>
      <c r="D176">
        <v>100</v>
      </c>
      <c r="E176">
        <v>299</v>
      </c>
      <c r="F176">
        <v>90</v>
      </c>
      <c r="G176">
        <v>62</v>
      </c>
      <c r="I176" s="4">
        <v>21057</v>
      </c>
      <c r="J176" t="str">
        <f>VLOOKUP(I176,ZipToCntyTbl[#All],3,0)</f>
        <v>Baltimore</v>
      </c>
      <c r="K176" s="4">
        <v>0</v>
      </c>
    </row>
    <row r="177" spans="1:11" x14ac:dyDescent="0.3">
      <c r="A177">
        <v>21057</v>
      </c>
      <c r="B177" t="s">
        <v>1416</v>
      </c>
      <c r="C177">
        <v>2120</v>
      </c>
      <c r="D177">
        <v>40</v>
      </c>
      <c r="E177">
        <v>81</v>
      </c>
      <c r="F177">
        <v>0</v>
      </c>
      <c r="G177">
        <v>0</v>
      </c>
      <c r="I177" s="2">
        <v>21060</v>
      </c>
      <c r="J177" t="str">
        <f>VLOOKUP(I177,ZipToCntyTbl[#All],3,0)</f>
        <v>Anne Arundel</v>
      </c>
      <c r="K177" s="2">
        <v>480</v>
      </c>
    </row>
    <row r="178" spans="1:11" x14ac:dyDescent="0.3">
      <c r="A178">
        <v>21060</v>
      </c>
      <c r="B178" t="s">
        <v>1416</v>
      </c>
      <c r="C178">
        <v>18120</v>
      </c>
      <c r="D178">
        <v>430</v>
      </c>
      <c r="E178">
        <v>1259</v>
      </c>
      <c r="F178">
        <v>480</v>
      </c>
      <c r="G178">
        <v>359</v>
      </c>
      <c r="I178" s="4">
        <v>21061</v>
      </c>
      <c r="J178" t="str">
        <f>VLOOKUP(I178,ZipToCntyTbl[#All],3,0)</f>
        <v>Anne Arundel</v>
      </c>
      <c r="K178" s="4">
        <v>830</v>
      </c>
    </row>
    <row r="179" spans="1:11" x14ac:dyDescent="0.3">
      <c r="A179">
        <v>21061</v>
      </c>
      <c r="B179" t="s">
        <v>1416</v>
      </c>
      <c r="C179">
        <v>27080</v>
      </c>
      <c r="D179">
        <v>750</v>
      </c>
      <c r="E179">
        <v>2233</v>
      </c>
      <c r="F179">
        <v>830</v>
      </c>
      <c r="G179">
        <v>602</v>
      </c>
      <c r="I179" s="2">
        <v>21074</v>
      </c>
      <c r="J179" t="str">
        <f>VLOOKUP(I179,ZipToCntyTbl[#All],3,0)</f>
        <v>Carroll</v>
      </c>
      <c r="K179" s="2">
        <v>150</v>
      </c>
    </row>
    <row r="180" spans="1:11" x14ac:dyDescent="0.3">
      <c r="A180">
        <v>21074</v>
      </c>
      <c r="B180" t="s">
        <v>1416</v>
      </c>
      <c r="C180">
        <v>7740</v>
      </c>
      <c r="D180">
        <v>150</v>
      </c>
      <c r="E180">
        <v>507</v>
      </c>
      <c r="F180">
        <v>150</v>
      </c>
      <c r="G180">
        <v>109</v>
      </c>
      <c r="I180" s="4">
        <v>21075</v>
      </c>
      <c r="J180" t="str">
        <f>VLOOKUP(I180,ZipToCntyTbl[#All],3,0)</f>
        <v>Howard</v>
      </c>
      <c r="K180" s="4">
        <v>370</v>
      </c>
    </row>
    <row r="181" spans="1:11" x14ac:dyDescent="0.3">
      <c r="A181">
        <v>21075</v>
      </c>
      <c r="B181" t="s">
        <v>1416</v>
      </c>
      <c r="C181">
        <v>15380</v>
      </c>
      <c r="D181">
        <v>480</v>
      </c>
      <c r="E181">
        <v>1657</v>
      </c>
      <c r="F181">
        <v>370</v>
      </c>
      <c r="G181">
        <v>309</v>
      </c>
      <c r="I181" s="2">
        <v>21076</v>
      </c>
      <c r="J181" t="str">
        <f>VLOOKUP(I181,ZipToCntyTbl[#All],3,0)</f>
        <v>Anne Arundel</v>
      </c>
      <c r="K181" s="2">
        <v>190</v>
      </c>
    </row>
    <row r="182" spans="1:11" x14ac:dyDescent="0.3">
      <c r="A182">
        <v>21076</v>
      </c>
      <c r="B182" t="s">
        <v>1416</v>
      </c>
      <c r="C182">
        <v>9260</v>
      </c>
      <c r="D182">
        <v>230</v>
      </c>
      <c r="E182">
        <v>833</v>
      </c>
      <c r="F182">
        <v>190</v>
      </c>
      <c r="G182">
        <v>158</v>
      </c>
      <c r="I182" s="4">
        <v>21077</v>
      </c>
      <c r="J182" t="str">
        <f>VLOOKUP(I182,ZipToCntyTbl[#All],3,0)</f>
        <v>Anne Arundel</v>
      </c>
      <c r="K182" s="4">
        <v>0</v>
      </c>
    </row>
    <row r="183" spans="1:11" x14ac:dyDescent="0.3">
      <c r="A183">
        <v>21077</v>
      </c>
      <c r="B183" t="s">
        <v>1416</v>
      </c>
      <c r="C183">
        <v>150</v>
      </c>
      <c r="D183">
        <v>0</v>
      </c>
      <c r="E183">
        <v>0</v>
      </c>
      <c r="F183">
        <v>0</v>
      </c>
      <c r="G183">
        <v>0</v>
      </c>
      <c r="I183" s="2">
        <v>21078</v>
      </c>
      <c r="J183" t="str">
        <f>VLOOKUP(I183,ZipToCntyTbl[#All],3,0)</f>
        <v>Harford</v>
      </c>
      <c r="K183" s="2">
        <v>180</v>
      </c>
    </row>
    <row r="184" spans="1:11" x14ac:dyDescent="0.3">
      <c r="A184">
        <v>21078</v>
      </c>
      <c r="B184" t="s">
        <v>1416</v>
      </c>
      <c r="C184">
        <v>9340</v>
      </c>
      <c r="D184">
        <v>200</v>
      </c>
      <c r="E184">
        <v>557</v>
      </c>
      <c r="F184">
        <v>180</v>
      </c>
      <c r="G184">
        <v>124</v>
      </c>
      <c r="I184" s="4">
        <v>21082</v>
      </c>
      <c r="J184" t="str">
        <f>VLOOKUP(I184,ZipToCntyTbl[#All],3,0)</f>
        <v>Baltimore</v>
      </c>
      <c r="K184" s="4">
        <v>0</v>
      </c>
    </row>
    <row r="185" spans="1:11" x14ac:dyDescent="0.3">
      <c r="A185">
        <v>21082</v>
      </c>
      <c r="B185" t="s">
        <v>1416</v>
      </c>
      <c r="C185">
        <v>480</v>
      </c>
      <c r="D185">
        <v>0</v>
      </c>
      <c r="E185">
        <v>0</v>
      </c>
      <c r="F185">
        <v>0</v>
      </c>
      <c r="G185">
        <v>0</v>
      </c>
      <c r="I185" s="2">
        <v>21084</v>
      </c>
      <c r="J185" t="str">
        <f>VLOOKUP(I185,ZipToCntyTbl[#All],3,0)</f>
        <v>Harford</v>
      </c>
      <c r="K185" s="2">
        <v>50</v>
      </c>
    </row>
    <row r="186" spans="1:11" x14ac:dyDescent="0.3">
      <c r="A186">
        <v>21084</v>
      </c>
      <c r="B186" t="s">
        <v>1416</v>
      </c>
      <c r="C186">
        <v>3750</v>
      </c>
      <c r="D186">
        <v>90</v>
      </c>
      <c r="E186">
        <v>291</v>
      </c>
      <c r="F186">
        <v>50</v>
      </c>
      <c r="G186">
        <v>29</v>
      </c>
      <c r="I186" s="4">
        <v>21085</v>
      </c>
      <c r="J186" t="str">
        <f>VLOOKUP(I186,ZipToCntyTbl[#All],3,0)</f>
        <v>Harford</v>
      </c>
      <c r="K186" s="4">
        <v>220</v>
      </c>
    </row>
    <row r="187" spans="1:11" x14ac:dyDescent="0.3">
      <c r="A187">
        <v>21085</v>
      </c>
      <c r="B187" t="s">
        <v>1416</v>
      </c>
      <c r="C187">
        <v>8690</v>
      </c>
      <c r="D187">
        <v>180</v>
      </c>
      <c r="E187">
        <v>478</v>
      </c>
      <c r="F187">
        <v>220</v>
      </c>
      <c r="G187">
        <v>140</v>
      </c>
      <c r="I187" s="2">
        <v>21087</v>
      </c>
      <c r="J187" t="str">
        <f>VLOOKUP(I187,ZipToCntyTbl[#All],3,0)</f>
        <v>Baltimore</v>
      </c>
      <c r="K187" s="2">
        <v>40</v>
      </c>
    </row>
    <row r="188" spans="1:11" x14ac:dyDescent="0.3">
      <c r="A188">
        <v>21087</v>
      </c>
      <c r="B188" t="s">
        <v>1416</v>
      </c>
      <c r="C188">
        <v>2920</v>
      </c>
      <c r="D188">
        <v>60</v>
      </c>
      <c r="E188">
        <v>246</v>
      </c>
      <c r="F188">
        <v>40</v>
      </c>
      <c r="G188">
        <v>24</v>
      </c>
      <c r="I188" s="4">
        <v>21090</v>
      </c>
      <c r="J188" t="str">
        <f>VLOOKUP(I188,ZipToCntyTbl[#All],3,0)</f>
        <v>Anne Arundel</v>
      </c>
      <c r="K188" s="4">
        <v>110</v>
      </c>
    </row>
    <row r="189" spans="1:11" x14ac:dyDescent="0.3">
      <c r="A189">
        <v>21090</v>
      </c>
      <c r="B189" t="s">
        <v>1416</v>
      </c>
      <c r="C189">
        <v>5250</v>
      </c>
      <c r="D189">
        <v>110</v>
      </c>
      <c r="E189">
        <v>359</v>
      </c>
      <c r="F189">
        <v>110</v>
      </c>
      <c r="G189">
        <v>70</v>
      </c>
      <c r="I189" s="2">
        <v>21093</v>
      </c>
      <c r="J189" t="str">
        <f>VLOOKUP(I189,ZipToCntyTbl[#All],3,0)</f>
        <v>Baltimore</v>
      </c>
      <c r="K189" s="2">
        <v>290</v>
      </c>
    </row>
    <row r="190" spans="1:11" x14ac:dyDescent="0.3">
      <c r="A190">
        <v>21093</v>
      </c>
      <c r="B190" t="s">
        <v>1416</v>
      </c>
      <c r="C190">
        <v>19670</v>
      </c>
      <c r="D190">
        <v>450</v>
      </c>
      <c r="E190">
        <v>1551</v>
      </c>
      <c r="F190">
        <v>290</v>
      </c>
      <c r="G190">
        <v>244</v>
      </c>
      <c r="I190" s="4">
        <v>21102</v>
      </c>
      <c r="J190" t="str">
        <f>VLOOKUP(I190,ZipToCntyTbl[#All],3,0)</f>
        <v>Carroll</v>
      </c>
      <c r="K190" s="4">
        <v>120</v>
      </c>
    </row>
    <row r="191" spans="1:11" x14ac:dyDescent="0.3">
      <c r="A191">
        <v>21102</v>
      </c>
      <c r="B191" t="s">
        <v>1416</v>
      </c>
      <c r="C191">
        <v>5780</v>
      </c>
      <c r="D191">
        <v>130</v>
      </c>
      <c r="E191">
        <v>445</v>
      </c>
      <c r="F191">
        <v>120</v>
      </c>
      <c r="G191">
        <v>82</v>
      </c>
      <c r="I191" s="2">
        <v>21104</v>
      </c>
      <c r="J191" t="str">
        <f>VLOOKUP(I191,ZipToCntyTbl[#All],3,0)</f>
        <v>Carroll</v>
      </c>
      <c r="K191" s="2">
        <v>0</v>
      </c>
    </row>
    <row r="192" spans="1:11" x14ac:dyDescent="0.3">
      <c r="A192">
        <v>21104</v>
      </c>
      <c r="B192" t="s">
        <v>1416</v>
      </c>
      <c r="C192">
        <v>2780</v>
      </c>
      <c r="D192">
        <v>30</v>
      </c>
      <c r="E192">
        <v>160</v>
      </c>
      <c r="F192">
        <v>0</v>
      </c>
      <c r="G192">
        <v>0</v>
      </c>
      <c r="I192" s="4">
        <v>21108</v>
      </c>
      <c r="J192" t="str">
        <f>VLOOKUP(I192,ZipToCntyTbl[#All],3,0)</f>
        <v>Anne Arundel</v>
      </c>
      <c r="K192" s="4">
        <v>130</v>
      </c>
    </row>
    <row r="193" spans="1:11" x14ac:dyDescent="0.3">
      <c r="A193">
        <v>21108</v>
      </c>
      <c r="B193" t="s">
        <v>1416</v>
      </c>
      <c r="C193">
        <v>8870</v>
      </c>
      <c r="D193">
        <v>160</v>
      </c>
      <c r="E193">
        <v>501</v>
      </c>
      <c r="F193">
        <v>130</v>
      </c>
      <c r="G193">
        <v>88</v>
      </c>
      <c r="I193" s="2">
        <v>21111</v>
      </c>
      <c r="J193" t="str">
        <f>VLOOKUP(I193,ZipToCntyTbl[#All],3,0)</f>
        <v>Baltimore</v>
      </c>
      <c r="K193" s="2">
        <v>40</v>
      </c>
    </row>
    <row r="194" spans="1:11" x14ac:dyDescent="0.3">
      <c r="A194">
        <v>21111</v>
      </c>
      <c r="B194" t="s">
        <v>1416</v>
      </c>
      <c r="C194">
        <v>2480</v>
      </c>
      <c r="D194">
        <v>40</v>
      </c>
      <c r="E194">
        <v>126</v>
      </c>
      <c r="F194">
        <v>40</v>
      </c>
      <c r="G194">
        <v>22</v>
      </c>
      <c r="I194" s="4">
        <v>21113</v>
      </c>
      <c r="J194" t="str">
        <f>VLOOKUP(I194,ZipToCntyTbl[#All],3,0)</f>
        <v>Anne Arundel</v>
      </c>
      <c r="K194" s="4">
        <v>270</v>
      </c>
    </row>
    <row r="195" spans="1:11" x14ac:dyDescent="0.3">
      <c r="A195">
        <v>21113</v>
      </c>
      <c r="B195" t="s">
        <v>1416</v>
      </c>
      <c r="C195">
        <v>16940</v>
      </c>
      <c r="D195">
        <v>300</v>
      </c>
      <c r="E195">
        <v>883</v>
      </c>
      <c r="F195">
        <v>270</v>
      </c>
      <c r="G195">
        <v>198</v>
      </c>
      <c r="I195" s="2">
        <v>21114</v>
      </c>
      <c r="J195" t="str">
        <f>VLOOKUP(I195,ZipToCntyTbl[#All],3,0)</f>
        <v>Anne Arundel</v>
      </c>
      <c r="K195" s="2">
        <v>220</v>
      </c>
    </row>
    <row r="196" spans="1:11" x14ac:dyDescent="0.3">
      <c r="A196">
        <v>21114</v>
      </c>
      <c r="B196" t="s">
        <v>1416</v>
      </c>
      <c r="C196">
        <v>12810</v>
      </c>
      <c r="D196">
        <v>250</v>
      </c>
      <c r="E196">
        <v>719</v>
      </c>
      <c r="F196">
        <v>220</v>
      </c>
      <c r="G196">
        <v>169</v>
      </c>
      <c r="I196" s="4">
        <v>21117</v>
      </c>
      <c r="J196" t="str">
        <f>VLOOKUP(I196,ZipToCntyTbl[#All],3,0)</f>
        <v>Baltimore</v>
      </c>
      <c r="K196" s="4">
        <v>570</v>
      </c>
    </row>
    <row r="197" spans="1:11" x14ac:dyDescent="0.3">
      <c r="A197">
        <v>21117</v>
      </c>
      <c r="B197" t="s">
        <v>1416</v>
      </c>
      <c r="C197">
        <v>28090</v>
      </c>
      <c r="D197">
        <v>700</v>
      </c>
      <c r="E197">
        <v>2105</v>
      </c>
      <c r="F197">
        <v>570</v>
      </c>
      <c r="G197">
        <v>451</v>
      </c>
      <c r="I197" s="2">
        <v>21120</v>
      </c>
      <c r="J197" t="str">
        <f>VLOOKUP(I197,ZipToCntyTbl[#All],3,0)</f>
        <v>Baltimore</v>
      </c>
      <c r="K197" s="2">
        <v>50</v>
      </c>
    </row>
    <row r="198" spans="1:11" x14ac:dyDescent="0.3">
      <c r="A198">
        <v>21120</v>
      </c>
      <c r="B198" t="s">
        <v>1416</v>
      </c>
      <c r="C198">
        <v>3550</v>
      </c>
      <c r="D198">
        <v>90</v>
      </c>
      <c r="E198">
        <v>312</v>
      </c>
      <c r="F198">
        <v>50</v>
      </c>
      <c r="G198">
        <v>31</v>
      </c>
      <c r="I198" s="4">
        <v>21122</v>
      </c>
      <c r="J198" t="str">
        <f>VLOOKUP(I198,ZipToCntyTbl[#All],3,0)</f>
        <v>Anne Arundel</v>
      </c>
      <c r="K198" s="4">
        <v>650</v>
      </c>
    </row>
    <row r="199" spans="1:11" x14ac:dyDescent="0.3">
      <c r="A199">
        <v>21122</v>
      </c>
      <c r="B199" t="s">
        <v>1416</v>
      </c>
      <c r="C199">
        <v>30610</v>
      </c>
      <c r="D199">
        <v>610</v>
      </c>
      <c r="E199">
        <v>1825</v>
      </c>
      <c r="F199">
        <v>650</v>
      </c>
      <c r="G199">
        <v>439</v>
      </c>
      <c r="I199" s="2">
        <v>21128</v>
      </c>
      <c r="J199" t="str">
        <f>VLOOKUP(I199,ZipToCntyTbl[#All],3,0)</f>
        <v>Baltimore</v>
      </c>
      <c r="K199" s="2">
        <v>120</v>
      </c>
    </row>
    <row r="200" spans="1:11" x14ac:dyDescent="0.3">
      <c r="A200">
        <v>21128</v>
      </c>
      <c r="B200" t="s">
        <v>1416</v>
      </c>
      <c r="C200">
        <v>6980</v>
      </c>
      <c r="D200">
        <v>190</v>
      </c>
      <c r="E200">
        <v>756</v>
      </c>
      <c r="F200">
        <v>120</v>
      </c>
      <c r="G200">
        <v>118</v>
      </c>
      <c r="I200" s="4">
        <v>21131</v>
      </c>
      <c r="J200" t="str">
        <f>VLOOKUP(I200,ZipToCntyTbl[#All],3,0)</f>
        <v>Baltimore</v>
      </c>
      <c r="K200" s="4">
        <v>40</v>
      </c>
    </row>
    <row r="201" spans="1:11" x14ac:dyDescent="0.3">
      <c r="A201">
        <v>21131</v>
      </c>
      <c r="B201" t="s">
        <v>1416</v>
      </c>
      <c r="C201">
        <v>3710</v>
      </c>
      <c r="D201">
        <v>60</v>
      </c>
      <c r="E201">
        <v>171</v>
      </c>
      <c r="F201">
        <v>40</v>
      </c>
      <c r="G201">
        <v>36</v>
      </c>
      <c r="I201" s="2">
        <v>21132</v>
      </c>
      <c r="J201" t="str">
        <f>VLOOKUP(I201,ZipToCntyTbl[#All],3,0)</f>
        <v>Harford</v>
      </c>
      <c r="K201" s="2">
        <v>30</v>
      </c>
    </row>
    <row r="202" spans="1:11" x14ac:dyDescent="0.3">
      <c r="A202">
        <v>21132</v>
      </c>
      <c r="B202" t="s">
        <v>1416</v>
      </c>
      <c r="C202">
        <v>1340</v>
      </c>
      <c r="D202">
        <v>40</v>
      </c>
      <c r="E202">
        <v>128</v>
      </c>
      <c r="F202">
        <v>30</v>
      </c>
      <c r="G202">
        <v>20</v>
      </c>
      <c r="I202" s="4">
        <v>21133</v>
      </c>
      <c r="J202" t="str">
        <f>VLOOKUP(I202,ZipToCntyTbl[#All],3,0)</f>
        <v>Baltimore</v>
      </c>
      <c r="K202" s="4">
        <v>260</v>
      </c>
    </row>
    <row r="203" spans="1:11" x14ac:dyDescent="0.3">
      <c r="A203">
        <v>21133</v>
      </c>
      <c r="B203" t="s">
        <v>1416</v>
      </c>
      <c r="C203">
        <v>15160</v>
      </c>
      <c r="D203">
        <v>300</v>
      </c>
      <c r="E203">
        <v>848</v>
      </c>
      <c r="F203">
        <v>260</v>
      </c>
      <c r="G203">
        <v>178</v>
      </c>
      <c r="I203" s="2">
        <v>21136</v>
      </c>
      <c r="J203" t="str">
        <f>VLOOKUP(I203,ZipToCntyTbl[#All],3,0)</f>
        <v>Baltimore</v>
      </c>
      <c r="K203" s="2">
        <v>400</v>
      </c>
    </row>
    <row r="204" spans="1:11" x14ac:dyDescent="0.3">
      <c r="A204">
        <v>21136</v>
      </c>
      <c r="B204" t="s">
        <v>1416</v>
      </c>
      <c r="C204">
        <v>17200</v>
      </c>
      <c r="D204">
        <v>560</v>
      </c>
      <c r="E204">
        <v>1924</v>
      </c>
      <c r="F204">
        <v>400</v>
      </c>
      <c r="G204">
        <v>312</v>
      </c>
      <c r="I204" s="4">
        <v>21140</v>
      </c>
      <c r="J204" t="str">
        <f>VLOOKUP(I204,ZipToCntyTbl[#All],3,0)</f>
        <v>Anne Arundel</v>
      </c>
      <c r="K204" s="4">
        <v>0</v>
      </c>
    </row>
    <row r="205" spans="1:11" x14ac:dyDescent="0.3">
      <c r="A205">
        <v>21140</v>
      </c>
      <c r="B205" t="s">
        <v>1416</v>
      </c>
      <c r="C205">
        <v>1790</v>
      </c>
      <c r="D205">
        <v>0</v>
      </c>
      <c r="E205">
        <v>0</v>
      </c>
      <c r="F205">
        <v>0</v>
      </c>
      <c r="G205">
        <v>0</v>
      </c>
      <c r="I205" s="2">
        <v>21144</v>
      </c>
      <c r="J205" t="str">
        <f>VLOOKUP(I205,ZipToCntyTbl[#All],3,0)</f>
        <v>Anne Arundel</v>
      </c>
      <c r="K205" s="2">
        <v>340</v>
      </c>
    </row>
    <row r="206" spans="1:11" x14ac:dyDescent="0.3">
      <c r="A206">
        <v>21144</v>
      </c>
      <c r="B206" t="s">
        <v>1416</v>
      </c>
      <c r="C206">
        <v>17190</v>
      </c>
      <c r="D206">
        <v>330</v>
      </c>
      <c r="E206">
        <v>999</v>
      </c>
      <c r="F206">
        <v>340</v>
      </c>
      <c r="G206">
        <v>243</v>
      </c>
      <c r="I206" s="4">
        <v>21146</v>
      </c>
      <c r="J206" t="str">
        <f>VLOOKUP(I206,ZipToCntyTbl[#All],3,0)</f>
        <v>Anne Arundel</v>
      </c>
      <c r="K206" s="4">
        <v>130</v>
      </c>
    </row>
    <row r="207" spans="1:11" x14ac:dyDescent="0.3">
      <c r="A207">
        <v>21146</v>
      </c>
      <c r="B207" t="s">
        <v>1416</v>
      </c>
      <c r="C207">
        <v>13210</v>
      </c>
      <c r="D207">
        <v>200</v>
      </c>
      <c r="E207">
        <v>639</v>
      </c>
      <c r="F207">
        <v>130</v>
      </c>
      <c r="G207">
        <v>101</v>
      </c>
      <c r="I207" s="2">
        <v>21152</v>
      </c>
      <c r="J207" t="str">
        <f>VLOOKUP(I207,ZipToCntyTbl[#All],3,0)</f>
        <v>Baltimore</v>
      </c>
      <c r="K207" s="2">
        <v>30</v>
      </c>
    </row>
    <row r="208" spans="1:11" x14ac:dyDescent="0.3">
      <c r="A208">
        <v>21152</v>
      </c>
      <c r="B208" t="s">
        <v>1416</v>
      </c>
      <c r="C208">
        <v>2950</v>
      </c>
      <c r="D208">
        <v>70</v>
      </c>
      <c r="E208">
        <v>211</v>
      </c>
      <c r="F208">
        <v>30</v>
      </c>
      <c r="G208">
        <v>19</v>
      </c>
      <c r="I208" s="4">
        <v>21154</v>
      </c>
      <c r="J208" t="str">
        <f>VLOOKUP(I208,ZipToCntyTbl[#All],3,0)</f>
        <v>Harford</v>
      </c>
      <c r="K208" s="4">
        <v>80</v>
      </c>
    </row>
    <row r="209" spans="1:11" x14ac:dyDescent="0.3">
      <c r="A209">
        <v>21154</v>
      </c>
      <c r="B209" t="s">
        <v>1416</v>
      </c>
      <c r="C209">
        <v>3060</v>
      </c>
      <c r="D209">
        <v>70</v>
      </c>
      <c r="E209">
        <v>233</v>
      </c>
      <c r="F209">
        <v>80</v>
      </c>
      <c r="G209">
        <v>54</v>
      </c>
      <c r="I209" s="2">
        <v>21155</v>
      </c>
      <c r="J209" t="str">
        <f>VLOOKUP(I209,ZipToCntyTbl[#All],3,0)</f>
        <v>Baltimore</v>
      </c>
      <c r="K209" s="2">
        <v>0</v>
      </c>
    </row>
    <row r="210" spans="1:11" x14ac:dyDescent="0.3">
      <c r="A210">
        <v>21155</v>
      </c>
      <c r="B210" t="s">
        <v>1416</v>
      </c>
      <c r="C210">
        <v>1230</v>
      </c>
      <c r="D210">
        <v>0</v>
      </c>
      <c r="E210">
        <v>0</v>
      </c>
      <c r="F210">
        <v>0</v>
      </c>
      <c r="G210">
        <v>0</v>
      </c>
      <c r="I210" s="4">
        <v>21156</v>
      </c>
      <c r="J210" t="str">
        <f>VLOOKUP(I210,ZipToCntyTbl[#All],3,0)</f>
        <v>Baltimore</v>
      </c>
      <c r="K210" s="4">
        <v>0</v>
      </c>
    </row>
    <row r="211" spans="1:11" x14ac:dyDescent="0.3">
      <c r="A211">
        <v>21156</v>
      </c>
      <c r="B211" t="s">
        <v>1416</v>
      </c>
      <c r="C211">
        <v>210</v>
      </c>
      <c r="D211">
        <v>0</v>
      </c>
      <c r="E211">
        <v>0</v>
      </c>
      <c r="F211">
        <v>0</v>
      </c>
      <c r="G211">
        <v>0</v>
      </c>
      <c r="I211" s="2">
        <v>21157</v>
      </c>
      <c r="J211" t="str">
        <f>VLOOKUP(I211,ZipToCntyTbl[#All],3,0)</f>
        <v>Carroll</v>
      </c>
      <c r="K211" s="2">
        <v>360</v>
      </c>
    </row>
    <row r="212" spans="1:11" x14ac:dyDescent="0.3">
      <c r="A212">
        <v>21157</v>
      </c>
      <c r="B212" t="s">
        <v>1416</v>
      </c>
      <c r="C212">
        <v>17890</v>
      </c>
      <c r="D212">
        <v>420</v>
      </c>
      <c r="E212">
        <v>1283</v>
      </c>
      <c r="F212">
        <v>360</v>
      </c>
      <c r="G212">
        <v>251</v>
      </c>
      <c r="I212" s="4">
        <v>21158</v>
      </c>
      <c r="J212" t="str">
        <f>VLOOKUP(I212,ZipToCntyTbl[#All],3,0)</f>
        <v>Carroll</v>
      </c>
      <c r="K212" s="4">
        <v>200</v>
      </c>
    </row>
    <row r="213" spans="1:11" x14ac:dyDescent="0.3">
      <c r="A213">
        <v>21158</v>
      </c>
      <c r="B213" t="s">
        <v>1416</v>
      </c>
      <c r="C213">
        <v>10420</v>
      </c>
      <c r="D213">
        <v>220</v>
      </c>
      <c r="E213">
        <v>670</v>
      </c>
      <c r="F213">
        <v>200</v>
      </c>
      <c r="G213">
        <v>143</v>
      </c>
      <c r="I213" s="2">
        <v>21160</v>
      </c>
      <c r="J213" t="str">
        <f>VLOOKUP(I213,ZipToCntyTbl[#All],3,0)</f>
        <v>Harford</v>
      </c>
      <c r="K213" s="2">
        <v>30</v>
      </c>
    </row>
    <row r="214" spans="1:11" x14ac:dyDescent="0.3">
      <c r="A214">
        <v>21160</v>
      </c>
      <c r="B214" t="s">
        <v>1416</v>
      </c>
      <c r="C214">
        <v>1190</v>
      </c>
      <c r="D214">
        <v>20</v>
      </c>
      <c r="E214">
        <v>75</v>
      </c>
      <c r="F214">
        <v>30</v>
      </c>
      <c r="G214">
        <v>23</v>
      </c>
      <c r="I214" s="4">
        <v>21161</v>
      </c>
      <c r="J214" t="str">
        <f>VLOOKUP(I214,ZipToCntyTbl[#All],3,0)</f>
        <v>Harford</v>
      </c>
      <c r="K214" s="4">
        <v>40</v>
      </c>
    </row>
    <row r="215" spans="1:11" x14ac:dyDescent="0.3">
      <c r="A215">
        <v>21161</v>
      </c>
      <c r="B215" t="s">
        <v>1416</v>
      </c>
      <c r="C215">
        <v>2650</v>
      </c>
      <c r="D215">
        <v>70</v>
      </c>
      <c r="E215">
        <v>160</v>
      </c>
      <c r="F215">
        <v>40</v>
      </c>
      <c r="G215">
        <v>25</v>
      </c>
      <c r="I215" s="2">
        <v>21162</v>
      </c>
      <c r="J215" t="str">
        <f>VLOOKUP(I215,ZipToCntyTbl[#All],3,0)</f>
        <v>Baltimore</v>
      </c>
      <c r="K215" s="2">
        <v>50</v>
      </c>
    </row>
    <row r="216" spans="1:11" x14ac:dyDescent="0.3">
      <c r="A216">
        <v>21162</v>
      </c>
      <c r="B216" t="s">
        <v>1416</v>
      </c>
      <c r="C216">
        <v>2240</v>
      </c>
      <c r="D216">
        <v>70</v>
      </c>
      <c r="E216">
        <v>221</v>
      </c>
      <c r="F216">
        <v>50</v>
      </c>
      <c r="G216">
        <v>42</v>
      </c>
      <c r="I216" s="4">
        <v>21163</v>
      </c>
      <c r="J216" t="str">
        <f>VLOOKUP(I216,ZipToCntyTbl[#All],3,0)</f>
        <v>Howard</v>
      </c>
      <c r="K216" s="4">
        <v>60</v>
      </c>
    </row>
    <row r="217" spans="1:11" x14ac:dyDescent="0.3">
      <c r="A217">
        <v>21163</v>
      </c>
      <c r="B217" t="s">
        <v>1416</v>
      </c>
      <c r="C217">
        <v>3430</v>
      </c>
      <c r="D217">
        <v>80</v>
      </c>
      <c r="E217">
        <v>389</v>
      </c>
      <c r="F217">
        <v>60</v>
      </c>
      <c r="G217">
        <v>51</v>
      </c>
      <c r="I217" s="2">
        <v>21201</v>
      </c>
      <c r="J217" t="str">
        <f>VLOOKUP(I217,ZipToCntyTbl[#All],3,0)</f>
        <v>Baltimore City</v>
      </c>
      <c r="K217" s="2">
        <v>190</v>
      </c>
    </row>
    <row r="218" spans="1:11" x14ac:dyDescent="0.3">
      <c r="A218">
        <v>21201</v>
      </c>
      <c r="B218" t="s">
        <v>1416</v>
      </c>
      <c r="C218">
        <v>7710</v>
      </c>
      <c r="D218">
        <v>150</v>
      </c>
      <c r="E218">
        <v>304</v>
      </c>
      <c r="F218">
        <v>190</v>
      </c>
      <c r="G218">
        <v>111</v>
      </c>
      <c r="I218" s="4">
        <v>21202</v>
      </c>
      <c r="J218" t="str">
        <f>VLOOKUP(I218,ZipToCntyTbl[#All],3,0)</f>
        <v>Baltimore City</v>
      </c>
      <c r="K218" s="4">
        <v>190</v>
      </c>
    </row>
    <row r="219" spans="1:11" x14ac:dyDescent="0.3">
      <c r="A219">
        <v>21202</v>
      </c>
      <c r="B219" t="s">
        <v>1416</v>
      </c>
      <c r="C219">
        <v>8260</v>
      </c>
      <c r="D219">
        <v>160</v>
      </c>
      <c r="E219">
        <v>291</v>
      </c>
      <c r="F219">
        <v>190</v>
      </c>
      <c r="G219">
        <v>107</v>
      </c>
      <c r="I219" s="2">
        <v>21204</v>
      </c>
      <c r="J219" t="str">
        <f>VLOOKUP(I219,ZipToCntyTbl[#All],3,0)</f>
        <v>Baltimore</v>
      </c>
      <c r="K219" s="2">
        <v>100</v>
      </c>
    </row>
    <row r="220" spans="1:11" x14ac:dyDescent="0.3">
      <c r="A220">
        <v>21204</v>
      </c>
      <c r="B220" t="s">
        <v>1416</v>
      </c>
      <c r="C220">
        <v>8150</v>
      </c>
      <c r="D220">
        <v>130</v>
      </c>
      <c r="E220">
        <v>402</v>
      </c>
      <c r="F220">
        <v>100</v>
      </c>
      <c r="G220">
        <v>63</v>
      </c>
      <c r="I220" s="4">
        <v>21205</v>
      </c>
      <c r="J220" t="str">
        <f>VLOOKUP(I220,ZipToCntyTbl[#All],3,0)</f>
        <v>Baltimore City</v>
      </c>
      <c r="K220" s="4">
        <v>170</v>
      </c>
    </row>
    <row r="221" spans="1:11" x14ac:dyDescent="0.3">
      <c r="A221">
        <v>21205</v>
      </c>
      <c r="B221" t="s">
        <v>1416</v>
      </c>
      <c r="C221">
        <v>5850</v>
      </c>
      <c r="D221">
        <v>90</v>
      </c>
      <c r="E221">
        <v>243</v>
      </c>
      <c r="F221">
        <v>170</v>
      </c>
      <c r="G221">
        <v>108</v>
      </c>
      <c r="I221" s="2">
        <v>21206</v>
      </c>
      <c r="J221" t="str">
        <f>VLOOKUP(I221,ZipToCntyTbl[#All],3,0)</f>
        <v>Baltimore City</v>
      </c>
      <c r="K221" s="2">
        <v>530</v>
      </c>
    </row>
    <row r="222" spans="1:11" x14ac:dyDescent="0.3">
      <c r="A222">
        <v>21206</v>
      </c>
      <c r="B222" t="s">
        <v>1416</v>
      </c>
      <c r="C222">
        <v>23240</v>
      </c>
      <c r="D222">
        <v>450</v>
      </c>
      <c r="E222">
        <v>1175</v>
      </c>
      <c r="F222">
        <v>530</v>
      </c>
      <c r="G222">
        <v>340</v>
      </c>
      <c r="I222" s="4">
        <v>21207</v>
      </c>
      <c r="J222" t="str">
        <f>VLOOKUP(I222,ZipToCntyTbl[#All],3,0)</f>
        <v>Baltimore</v>
      </c>
      <c r="K222" s="4">
        <v>480</v>
      </c>
    </row>
    <row r="223" spans="1:11" x14ac:dyDescent="0.3">
      <c r="A223">
        <v>21207</v>
      </c>
      <c r="B223" t="s">
        <v>1416</v>
      </c>
      <c r="C223">
        <v>23340</v>
      </c>
      <c r="D223">
        <v>470</v>
      </c>
      <c r="E223">
        <v>1235</v>
      </c>
      <c r="F223">
        <v>480</v>
      </c>
      <c r="G223">
        <v>310</v>
      </c>
      <c r="I223" s="2">
        <v>21208</v>
      </c>
      <c r="J223" t="str">
        <f>VLOOKUP(I223,ZipToCntyTbl[#All],3,0)</f>
        <v>Baltimore</v>
      </c>
      <c r="K223" s="2">
        <v>230</v>
      </c>
    </row>
    <row r="224" spans="1:11" x14ac:dyDescent="0.3">
      <c r="A224">
        <v>21208</v>
      </c>
      <c r="B224" t="s">
        <v>1416</v>
      </c>
      <c r="C224">
        <v>17080</v>
      </c>
      <c r="D224">
        <v>400</v>
      </c>
      <c r="E224">
        <v>1300</v>
      </c>
      <c r="F224">
        <v>230</v>
      </c>
      <c r="G224">
        <v>157</v>
      </c>
      <c r="I224" s="4">
        <v>21209</v>
      </c>
      <c r="J224" t="str">
        <f>VLOOKUP(I224,ZipToCntyTbl[#All],3,0)</f>
        <v>Baltimore City</v>
      </c>
      <c r="K224" s="4">
        <v>200</v>
      </c>
    </row>
    <row r="225" spans="1:11" x14ac:dyDescent="0.3">
      <c r="A225">
        <v>21209</v>
      </c>
      <c r="B225" t="s">
        <v>1416</v>
      </c>
      <c r="C225">
        <v>12420</v>
      </c>
      <c r="D225">
        <v>400</v>
      </c>
      <c r="E225">
        <v>1251</v>
      </c>
      <c r="F225">
        <v>200</v>
      </c>
      <c r="G225">
        <v>140</v>
      </c>
      <c r="I225" s="2">
        <v>21210</v>
      </c>
      <c r="J225" t="str">
        <f>VLOOKUP(I225,ZipToCntyTbl[#All],3,0)</f>
        <v>Baltimore City</v>
      </c>
      <c r="K225" s="2">
        <v>60</v>
      </c>
    </row>
    <row r="226" spans="1:11" x14ac:dyDescent="0.3">
      <c r="A226">
        <v>21210</v>
      </c>
      <c r="B226" t="s">
        <v>1416</v>
      </c>
      <c r="C226">
        <v>5450</v>
      </c>
      <c r="D226">
        <v>90</v>
      </c>
      <c r="E226">
        <v>241</v>
      </c>
      <c r="F226">
        <v>60</v>
      </c>
      <c r="G226">
        <v>41</v>
      </c>
      <c r="I226" s="4">
        <v>21211</v>
      </c>
      <c r="J226" t="str">
        <f>VLOOKUP(I226,ZipToCntyTbl[#All],3,0)</f>
        <v>Baltimore City</v>
      </c>
      <c r="K226" s="4">
        <v>300</v>
      </c>
    </row>
    <row r="227" spans="1:11" x14ac:dyDescent="0.3">
      <c r="A227">
        <v>21211</v>
      </c>
      <c r="B227" t="s">
        <v>1416</v>
      </c>
      <c r="C227">
        <v>8790</v>
      </c>
      <c r="D227">
        <v>320</v>
      </c>
      <c r="E227">
        <v>685</v>
      </c>
      <c r="F227">
        <v>300</v>
      </c>
      <c r="G227">
        <v>180</v>
      </c>
      <c r="I227" s="2">
        <v>21212</v>
      </c>
      <c r="J227" t="str">
        <f>VLOOKUP(I227,ZipToCntyTbl[#All],3,0)</f>
        <v>Baltimore City</v>
      </c>
      <c r="K227" s="2">
        <v>230</v>
      </c>
    </row>
    <row r="228" spans="1:11" x14ac:dyDescent="0.3">
      <c r="A228">
        <v>21212</v>
      </c>
      <c r="B228" t="s">
        <v>1416</v>
      </c>
      <c r="C228">
        <v>14180</v>
      </c>
      <c r="D228">
        <v>290</v>
      </c>
      <c r="E228">
        <v>857</v>
      </c>
      <c r="F228">
        <v>230</v>
      </c>
      <c r="G228">
        <v>158</v>
      </c>
      <c r="I228" s="4">
        <v>21213</v>
      </c>
      <c r="J228" t="str">
        <f>VLOOKUP(I228,ZipToCntyTbl[#All],3,0)</f>
        <v>Baltimore City</v>
      </c>
      <c r="K228" s="4">
        <v>270</v>
      </c>
    </row>
    <row r="229" spans="1:11" x14ac:dyDescent="0.3">
      <c r="A229">
        <v>21213</v>
      </c>
      <c r="B229" t="s">
        <v>1416</v>
      </c>
      <c r="C229">
        <v>12320</v>
      </c>
      <c r="D229">
        <v>170</v>
      </c>
      <c r="E229">
        <v>435</v>
      </c>
      <c r="F229">
        <v>270</v>
      </c>
      <c r="G229">
        <v>163</v>
      </c>
      <c r="I229" s="2">
        <v>21214</v>
      </c>
      <c r="J229" t="str">
        <f>VLOOKUP(I229,ZipToCntyTbl[#All],3,0)</f>
        <v>Baltimore City</v>
      </c>
      <c r="K229" s="2">
        <v>210</v>
      </c>
    </row>
    <row r="230" spans="1:11" x14ac:dyDescent="0.3">
      <c r="A230">
        <v>21214</v>
      </c>
      <c r="B230" t="s">
        <v>1416</v>
      </c>
      <c r="C230">
        <v>9160</v>
      </c>
      <c r="D230">
        <v>230</v>
      </c>
      <c r="E230">
        <v>616</v>
      </c>
      <c r="F230">
        <v>210</v>
      </c>
      <c r="G230">
        <v>138</v>
      </c>
      <c r="I230" s="4">
        <v>21215</v>
      </c>
      <c r="J230" t="str">
        <f>VLOOKUP(I230,ZipToCntyTbl[#All],3,0)</f>
        <v>Baltimore City</v>
      </c>
      <c r="K230" s="4">
        <v>520</v>
      </c>
    </row>
    <row r="231" spans="1:11" x14ac:dyDescent="0.3">
      <c r="A231">
        <v>21215</v>
      </c>
      <c r="B231" t="s">
        <v>1416</v>
      </c>
      <c r="C231">
        <v>22980</v>
      </c>
      <c r="D231">
        <v>560</v>
      </c>
      <c r="E231">
        <v>1662</v>
      </c>
      <c r="F231">
        <v>520</v>
      </c>
      <c r="G231">
        <v>353</v>
      </c>
      <c r="I231" s="2">
        <v>21216</v>
      </c>
      <c r="J231" t="str">
        <f>VLOOKUP(I231,ZipToCntyTbl[#All],3,0)</f>
        <v>Baltimore City</v>
      </c>
      <c r="K231" s="2">
        <v>280</v>
      </c>
    </row>
    <row r="232" spans="1:11" x14ac:dyDescent="0.3">
      <c r="A232">
        <v>21216</v>
      </c>
      <c r="B232" t="s">
        <v>1416</v>
      </c>
      <c r="C232">
        <v>11570</v>
      </c>
      <c r="D232">
        <v>160</v>
      </c>
      <c r="E232">
        <v>412</v>
      </c>
      <c r="F232">
        <v>280</v>
      </c>
      <c r="G232">
        <v>161</v>
      </c>
      <c r="I232" s="4">
        <v>21217</v>
      </c>
      <c r="J232" t="str">
        <f>VLOOKUP(I232,ZipToCntyTbl[#All],3,0)</f>
        <v>Baltimore City</v>
      </c>
      <c r="K232" s="4">
        <v>250</v>
      </c>
    </row>
    <row r="233" spans="1:11" x14ac:dyDescent="0.3">
      <c r="A233">
        <v>21217</v>
      </c>
      <c r="B233" t="s">
        <v>1416</v>
      </c>
      <c r="C233">
        <v>12080</v>
      </c>
      <c r="D233">
        <v>260</v>
      </c>
      <c r="E233">
        <v>567</v>
      </c>
      <c r="F233">
        <v>250</v>
      </c>
      <c r="G233">
        <v>137</v>
      </c>
      <c r="I233" s="2">
        <v>21218</v>
      </c>
      <c r="J233" t="str">
        <f>VLOOKUP(I233,ZipToCntyTbl[#All],3,0)</f>
        <v>Baltimore City</v>
      </c>
      <c r="K233" s="2">
        <v>460</v>
      </c>
    </row>
    <row r="234" spans="1:11" x14ac:dyDescent="0.3">
      <c r="A234">
        <v>21218</v>
      </c>
      <c r="B234" t="s">
        <v>1416</v>
      </c>
      <c r="C234">
        <v>18660</v>
      </c>
      <c r="D234">
        <v>430</v>
      </c>
      <c r="E234">
        <v>1041</v>
      </c>
      <c r="F234">
        <v>460</v>
      </c>
      <c r="G234">
        <v>265</v>
      </c>
      <c r="I234" s="4">
        <v>21219</v>
      </c>
      <c r="J234" t="str">
        <f>VLOOKUP(I234,ZipToCntyTbl[#All],3,0)</f>
        <v>Baltimore</v>
      </c>
      <c r="K234" s="4">
        <v>120</v>
      </c>
    </row>
    <row r="235" spans="1:11" x14ac:dyDescent="0.3">
      <c r="A235">
        <v>21219</v>
      </c>
      <c r="B235" t="s">
        <v>1416</v>
      </c>
      <c r="C235">
        <v>4640</v>
      </c>
      <c r="D235">
        <v>100</v>
      </c>
      <c r="E235">
        <v>303</v>
      </c>
      <c r="F235">
        <v>120</v>
      </c>
      <c r="G235">
        <v>79</v>
      </c>
      <c r="I235" s="2">
        <v>21220</v>
      </c>
      <c r="J235" t="str">
        <f>VLOOKUP(I235,ZipToCntyTbl[#All],3,0)</f>
        <v>Baltimore</v>
      </c>
      <c r="K235" s="2">
        <v>520</v>
      </c>
    </row>
    <row r="236" spans="1:11" x14ac:dyDescent="0.3">
      <c r="A236">
        <v>21220</v>
      </c>
      <c r="B236" t="s">
        <v>1416</v>
      </c>
      <c r="C236">
        <v>20050</v>
      </c>
      <c r="D236">
        <v>440</v>
      </c>
      <c r="E236">
        <v>1338</v>
      </c>
      <c r="F236">
        <v>520</v>
      </c>
      <c r="G236">
        <v>345</v>
      </c>
      <c r="I236" s="4">
        <v>21221</v>
      </c>
      <c r="J236" t="str">
        <f>VLOOKUP(I236,ZipToCntyTbl[#All],3,0)</f>
        <v>Baltimore</v>
      </c>
      <c r="K236" s="4">
        <v>530</v>
      </c>
    </row>
    <row r="237" spans="1:11" x14ac:dyDescent="0.3">
      <c r="A237">
        <v>21221</v>
      </c>
      <c r="B237" t="s">
        <v>1416</v>
      </c>
      <c r="C237">
        <v>20310</v>
      </c>
      <c r="D237">
        <v>450</v>
      </c>
      <c r="E237">
        <v>1357</v>
      </c>
      <c r="F237">
        <v>530</v>
      </c>
      <c r="G237">
        <v>367</v>
      </c>
      <c r="I237" s="2">
        <v>21222</v>
      </c>
      <c r="J237" t="str">
        <f>VLOOKUP(I237,ZipToCntyTbl[#All],3,0)</f>
        <v>Baltimore</v>
      </c>
      <c r="K237" s="2">
        <v>870</v>
      </c>
    </row>
    <row r="238" spans="1:11" x14ac:dyDescent="0.3">
      <c r="A238">
        <v>21222</v>
      </c>
      <c r="B238" t="s">
        <v>1416</v>
      </c>
      <c r="C238">
        <v>26290</v>
      </c>
      <c r="D238">
        <v>600</v>
      </c>
      <c r="E238">
        <v>1719</v>
      </c>
      <c r="F238">
        <v>870</v>
      </c>
      <c r="G238">
        <v>600</v>
      </c>
      <c r="I238" s="4">
        <v>21223</v>
      </c>
      <c r="J238" t="str">
        <f>VLOOKUP(I238,ZipToCntyTbl[#All],3,0)</f>
        <v>Baltimore City</v>
      </c>
      <c r="K238" s="4">
        <v>230</v>
      </c>
    </row>
    <row r="239" spans="1:11" x14ac:dyDescent="0.3">
      <c r="A239">
        <v>21223</v>
      </c>
      <c r="B239" t="s">
        <v>1416</v>
      </c>
      <c r="C239">
        <v>8350</v>
      </c>
      <c r="D239">
        <v>180</v>
      </c>
      <c r="E239">
        <v>417</v>
      </c>
      <c r="F239">
        <v>230</v>
      </c>
      <c r="G239">
        <v>159</v>
      </c>
      <c r="I239" s="2">
        <v>21224</v>
      </c>
      <c r="J239" t="str">
        <f>VLOOKUP(I239,ZipToCntyTbl[#All],3,0)</f>
        <v>Baltimore City</v>
      </c>
      <c r="K239" s="2">
        <v>680</v>
      </c>
    </row>
    <row r="240" spans="1:11" x14ac:dyDescent="0.3">
      <c r="A240">
        <v>21224</v>
      </c>
      <c r="B240" t="s">
        <v>1416</v>
      </c>
      <c r="C240">
        <v>25960</v>
      </c>
      <c r="D240">
        <v>470</v>
      </c>
      <c r="E240">
        <v>1171</v>
      </c>
      <c r="F240">
        <v>680</v>
      </c>
      <c r="G240">
        <v>474</v>
      </c>
      <c r="I240" s="4">
        <v>21225</v>
      </c>
      <c r="J240" t="str">
        <f>VLOOKUP(I240,ZipToCntyTbl[#All],3,0)</f>
        <v>Baltimore City</v>
      </c>
      <c r="K240" s="4">
        <v>370</v>
      </c>
    </row>
    <row r="241" spans="1:11" x14ac:dyDescent="0.3">
      <c r="A241">
        <v>21225</v>
      </c>
      <c r="B241" t="s">
        <v>1416</v>
      </c>
      <c r="C241">
        <v>13720</v>
      </c>
      <c r="D241">
        <v>300</v>
      </c>
      <c r="E241">
        <v>809</v>
      </c>
      <c r="F241">
        <v>370</v>
      </c>
      <c r="G241">
        <v>263</v>
      </c>
      <c r="I241" s="2">
        <v>21226</v>
      </c>
      <c r="J241" t="str">
        <f>VLOOKUP(I241,ZipToCntyTbl[#All],3,0)</f>
        <v>Anne Arundel</v>
      </c>
      <c r="K241" s="2">
        <v>70</v>
      </c>
    </row>
    <row r="242" spans="1:11" x14ac:dyDescent="0.3">
      <c r="A242">
        <v>21226</v>
      </c>
      <c r="B242" t="s">
        <v>1416</v>
      </c>
      <c r="C242">
        <v>3150</v>
      </c>
      <c r="D242">
        <v>40</v>
      </c>
      <c r="E242">
        <v>96</v>
      </c>
      <c r="F242">
        <v>70</v>
      </c>
      <c r="G242">
        <v>50</v>
      </c>
      <c r="I242" s="4">
        <v>21227</v>
      </c>
      <c r="J242" t="str">
        <f>VLOOKUP(I242,ZipToCntyTbl[#All],3,0)</f>
        <v>Baltimore</v>
      </c>
      <c r="K242" s="4">
        <v>470</v>
      </c>
    </row>
    <row r="243" spans="1:11" x14ac:dyDescent="0.3">
      <c r="A243">
        <v>21227</v>
      </c>
      <c r="B243" t="s">
        <v>1416</v>
      </c>
      <c r="C243">
        <v>16610</v>
      </c>
      <c r="D243">
        <v>430</v>
      </c>
      <c r="E243">
        <v>1148</v>
      </c>
      <c r="F243">
        <v>470</v>
      </c>
      <c r="G243">
        <v>308</v>
      </c>
      <c r="I243" s="2">
        <v>21228</v>
      </c>
      <c r="J243" t="str">
        <f>VLOOKUP(I243,ZipToCntyTbl[#All],3,0)</f>
        <v>Baltimore</v>
      </c>
      <c r="K243" s="2">
        <v>430</v>
      </c>
    </row>
    <row r="244" spans="1:11" x14ac:dyDescent="0.3">
      <c r="A244">
        <v>21228</v>
      </c>
      <c r="B244" t="s">
        <v>1416</v>
      </c>
      <c r="C244">
        <v>24380</v>
      </c>
      <c r="D244">
        <v>660</v>
      </c>
      <c r="E244">
        <v>2025</v>
      </c>
      <c r="F244">
        <v>430</v>
      </c>
      <c r="G244">
        <v>309</v>
      </c>
      <c r="I244" s="4">
        <v>21229</v>
      </c>
      <c r="J244" t="str">
        <f>VLOOKUP(I244,ZipToCntyTbl[#All],3,0)</f>
        <v>Baltimore City</v>
      </c>
      <c r="K244" s="4">
        <v>500</v>
      </c>
    </row>
    <row r="245" spans="1:11" x14ac:dyDescent="0.3">
      <c r="A245">
        <v>21229</v>
      </c>
      <c r="B245" t="s">
        <v>1416</v>
      </c>
      <c r="C245">
        <v>20330</v>
      </c>
      <c r="D245">
        <v>400</v>
      </c>
      <c r="E245">
        <v>961</v>
      </c>
      <c r="F245">
        <v>500</v>
      </c>
      <c r="G245">
        <v>335</v>
      </c>
      <c r="I245" s="2">
        <v>21230</v>
      </c>
      <c r="J245" t="str">
        <f>VLOOKUP(I245,ZipToCntyTbl[#All],3,0)</f>
        <v>Baltimore City</v>
      </c>
      <c r="K245" s="2">
        <v>360</v>
      </c>
    </row>
    <row r="246" spans="1:11" x14ac:dyDescent="0.3">
      <c r="A246">
        <v>21230</v>
      </c>
      <c r="B246" t="s">
        <v>1416</v>
      </c>
      <c r="C246">
        <v>17510</v>
      </c>
      <c r="D246">
        <v>270</v>
      </c>
      <c r="E246">
        <v>648</v>
      </c>
      <c r="F246">
        <v>360</v>
      </c>
      <c r="G246">
        <v>228</v>
      </c>
      <c r="I246" s="4">
        <v>21231</v>
      </c>
      <c r="J246" t="str">
        <f>VLOOKUP(I246,ZipToCntyTbl[#All],3,0)</f>
        <v>Baltimore City</v>
      </c>
      <c r="K246" s="4">
        <v>220</v>
      </c>
    </row>
    <row r="247" spans="1:11" x14ac:dyDescent="0.3">
      <c r="A247">
        <v>21231</v>
      </c>
      <c r="B247" t="s">
        <v>1416</v>
      </c>
      <c r="C247">
        <v>8150</v>
      </c>
      <c r="D247">
        <v>170</v>
      </c>
      <c r="E247">
        <v>395</v>
      </c>
      <c r="F247">
        <v>220</v>
      </c>
      <c r="G247">
        <v>129</v>
      </c>
      <c r="I247" s="2">
        <v>21234</v>
      </c>
      <c r="J247" t="str">
        <f>VLOOKUP(I247,ZipToCntyTbl[#All],3,0)</f>
        <v>Baltimore</v>
      </c>
      <c r="K247" s="2">
        <v>830</v>
      </c>
    </row>
    <row r="248" spans="1:11" x14ac:dyDescent="0.3">
      <c r="A248">
        <v>21234</v>
      </c>
      <c r="B248" t="s">
        <v>1416</v>
      </c>
      <c r="C248">
        <v>35270</v>
      </c>
      <c r="D248">
        <v>950</v>
      </c>
      <c r="E248">
        <v>2884</v>
      </c>
      <c r="F248">
        <v>830</v>
      </c>
      <c r="G248">
        <v>564</v>
      </c>
      <c r="I248" s="4">
        <v>21236</v>
      </c>
      <c r="J248" t="str">
        <f>VLOOKUP(I248,ZipToCntyTbl[#All],3,0)</f>
        <v>Baltimore</v>
      </c>
      <c r="K248" s="4">
        <v>430</v>
      </c>
    </row>
    <row r="249" spans="1:11" x14ac:dyDescent="0.3">
      <c r="A249">
        <v>21236</v>
      </c>
      <c r="B249" t="s">
        <v>1416</v>
      </c>
      <c r="C249">
        <v>20230</v>
      </c>
      <c r="D249">
        <v>640</v>
      </c>
      <c r="E249">
        <v>2044</v>
      </c>
      <c r="F249">
        <v>430</v>
      </c>
      <c r="G249">
        <v>325</v>
      </c>
      <c r="I249" s="2">
        <v>21237</v>
      </c>
      <c r="J249" t="str">
        <f>VLOOKUP(I249,ZipToCntyTbl[#All],3,0)</f>
        <v>Baltimore</v>
      </c>
      <c r="K249" s="2">
        <v>420</v>
      </c>
    </row>
    <row r="250" spans="1:11" x14ac:dyDescent="0.3">
      <c r="A250">
        <v>21237</v>
      </c>
      <c r="B250" t="s">
        <v>1416</v>
      </c>
      <c r="C250">
        <v>15400</v>
      </c>
      <c r="D250">
        <v>410</v>
      </c>
      <c r="E250">
        <v>1279</v>
      </c>
      <c r="F250">
        <v>420</v>
      </c>
      <c r="G250">
        <v>307</v>
      </c>
      <c r="I250" s="4">
        <v>21239</v>
      </c>
      <c r="J250" t="str">
        <f>VLOOKUP(I250,ZipToCntyTbl[#All],3,0)</f>
        <v>Baltimore City</v>
      </c>
      <c r="K250" s="4">
        <v>260</v>
      </c>
    </row>
    <row r="251" spans="1:11" x14ac:dyDescent="0.3">
      <c r="A251">
        <v>21239</v>
      </c>
      <c r="B251" t="s">
        <v>1416</v>
      </c>
      <c r="C251">
        <v>13680</v>
      </c>
      <c r="D251">
        <v>310</v>
      </c>
      <c r="E251">
        <v>813</v>
      </c>
      <c r="F251">
        <v>260</v>
      </c>
      <c r="G251">
        <v>152</v>
      </c>
      <c r="I251" s="2">
        <v>21244</v>
      </c>
      <c r="J251" t="str">
        <f>VLOOKUP(I251,ZipToCntyTbl[#All],3,0)</f>
        <v>Baltimore</v>
      </c>
      <c r="K251" s="2">
        <v>450</v>
      </c>
    </row>
    <row r="252" spans="1:11" x14ac:dyDescent="0.3">
      <c r="A252">
        <v>21244</v>
      </c>
      <c r="B252" t="s">
        <v>1416</v>
      </c>
      <c r="C252">
        <v>18180</v>
      </c>
      <c r="D252">
        <v>480</v>
      </c>
      <c r="E252">
        <v>1327</v>
      </c>
      <c r="F252">
        <v>450</v>
      </c>
      <c r="G252">
        <v>312</v>
      </c>
      <c r="I252" s="4">
        <v>21286</v>
      </c>
      <c r="J252" t="str">
        <f>VLOOKUP(I252,ZipToCntyTbl[#All],3,0)</f>
        <v>Baltimore</v>
      </c>
      <c r="K252" s="4">
        <v>160</v>
      </c>
    </row>
    <row r="253" spans="1:11" x14ac:dyDescent="0.3">
      <c r="A253">
        <v>21286</v>
      </c>
      <c r="B253" t="s">
        <v>1416</v>
      </c>
      <c r="C253">
        <v>9390</v>
      </c>
      <c r="D253">
        <v>200</v>
      </c>
      <c r="E253">
        <v>692</v>
      </c>
      <c r="F253">
        <v>160</v>
      </c>
      <c r="G253">
        <v>107</v>
      </c>
      <c r="I253" s="2">
        <v>21401</v>
      </c>
      <c r="J253" t="str">
        <f>VLOOKUP(I253,ZipToCntyTbl[#All],3,0)</f>
        <v>Anne Arundel</v>
      </c>
      <c r="K253" s="2">
        <v>400</v>
      </c>
    </row>
    <row r="254" spans="1:11" x14ac:dyDescent="0.3">
      <c r="A254">
        <v>21401</v>
      </c>
      <c r="B254" t="s">
        <v>1416</v>
      </c>
      <c r="C254">
        <v>20610</v>
      </c>
      <c r="D254">
        <v>430</v>
      </c>
      <c r="E254">
        <v>1201</v>
      </c>
      <c r="F254">
        <v>400</v>
      </c>
      <c r="G254">
        <v>282</v>
      </c>
      <c r="I254" s="4">
        <v>21402</v>
      </c>
      <c r="J254" t="str">
        <f>VLOOKUP(I254,ZipToCntyTbl[#All],3,0)</f>
        <v>Anne Arundel</v>
      </c>
      <c r="K254" s="4">
        <v>0</v>
      </c>
    </row>
    <row r="255" spans="1:11" x14ac:dyDescent="0.3">
      <c r="A255">
        <v>21402</v>
      </c>
      <c r="B255" t="s">
        <v>1416</v>
      </c>
      <c r="C255">
        <v>520</v>
      </c>
      <c r="D255">
        <v>0</v>
      </c>
      <c r="E255">
        <v>0</v>
      </c>
      <c r="F255">
        <v>0</v>
      </c>
      <c r="G255">
        <v>0</v>
      </c>
      <c r="I255" s="2">
        <v>21403</v>
      </c>
      <c r="J255" t="str">
        <f>VLOOKUP(I255,ZipToCntyTbl[#All],3,0)</f>
        <v>Anne Arundel</v>
      </c>
      <c r="K255" s="2">
        <v>350</v>
      </c>
    </row>
    <row r="256" spans="1:11" x14ac:dyDescent="0.3">
      <c r="A256">
        <v>21403</v>
      </c>
      <c r="B256" t="s">
        <v>1416</v>
      </c>
      <c r="C256">
        <v>16880</v>
      </c>
      <c r="D256">
        <v>420</v>
      </c>
      <c r="E256">
        <v>1127</v>
      </c>
      <c r="F256">
        <v>350</v>
      </c>
      <c r="G256">
        <v>259</v>
      </c>
      <c r="I256" s="4">
        <v>21409</v>
      </c>
      <c r="J256" t="str">
        <f>VLOOKUP(I256,ZipToCntyTbl[#All],3,0)</f>
        <v>Anne Arundel</v>
      </c>
      <c r="K256" s="4">
        <v>150</v>
      </c>
    </row>
    <row r="257" spans="1:11" x14ac:dyDescent="0.3">
      <c r="A257">
        <v>21409</v>
      </c>
      <c r="B257" t="s">
        <v>1416</v>
      </c>
      <c r="C257">
        <v>9810</v>
      </c>
      <c r="D257">
        <v>190</v>
      </c>
      <c r="E257">
        <v>579</v>
      </c>
      <c r="F257">
        <v>150</v>
      </c>
      <c r="G257">
        <v>113</v>
      </c>
      <c r="I257" s="2">
        <v>21502</v>
      </c>
      <c r="J257" t="str">
        <f>VLOOKUP(I257,ZipToCntyTbl[#All],3,0)</f>
        <v>Allegany</v>
      </c>
      <c r="K257" s="2">
        <v>460</v>
      </c>
    </row>
    <row r="258" spans="1:11" x14ac:dyDescent="0.3">
      <c r="A258">
        <v>21502</v>
      </c>
      <c r="B258" t="s">
        <v>1416</v>
      </c>
      <c r="C258">
        <v>16470</v>
      </c>
      <c r="D258">
        <v>380</v>
      </c>
      <c r="E258">
        <v>1155</v>
      </c>
      <c r="F258">
        <v>460</v>
      </c>
      <c r="G258">
        <v>305</v>
      </c>
      <c r="I258" s="4">
        <v>21520</v>
      </c>
      <c r="J258" t="str">
        <f>VLOOKUP(I258,ZipToCntyTbl[#All],3,0)</f>
        <v>Garrett</v>
      </c>
      <c r="K258" s="4">
        <v>30</v>
      </c>
    </row>
    <row r="259" spans="1:11" x14ac:dyDescent="0.3">
      <c r="A259">
        <v>21520</v>
      </c>
      <c r="B259" t="s">
        <v>1416</v>
      </c>
      <c r="C259">
        <v>960</v>
      </c>
      <c r="D259">
        <v>30</v>
      </c>
      <c r="E259">
        <v>55</v>
      </c>
      <c r="F259">
        <v>30</v>
      </c>
      <c r="G259">
        <v>19</v>
      </c>
      <c r="I259" s="2">
        <v>21521</v>
      </c>
      <c r="J259" t="str">
        <f>VLOOKUP(I259,ZipToCntyTbl[#All],3,0)</f>
        <v>Allegany</v>
      </c>
      <c r="K259" s="2">
        <v>20</v>
      </c>
    </row>
    <row r="260" spans="1:11" x14ac:dyDescent="0.3">
      <c r="A260">
        <v>21521</v>
      </c>
      <c r="B260" t="s">
        <v>1416</v>
      </c>
      <c r="C260">
        <v>540</v>
      </c>
      <c r="D260">
        <v>0</v>
      </c>
      <c r="E260">
        <v>0</v>
      </c>
      <c r="F260">
        <v>20</v>
      </c>
      <c r="G260">
        <v>15</v>
      </c>
      <c r="I260" s="4">
        <v>21523</v>
      </c>
      <c r="J260" t="str">
        <f>VLOOKUP(I260,ZipToCntyTbl[#All],3,0)</f>
        <v>Garrett</v>
      </c>
      <c r="K260" s="4">
        <v>0</v>
      </c>
    </row>
    <row r="261" spans="1:11" x14ac:dyDescent="0.3">
      <c r="A261">
        <v>21523</v>
      </c>
      <c r="B261" t="s">
        <v>1416</v>
      </c>
      <c r="C261">
        <v>130</v>
      </c>
      <c r="D261">
        <v>0</v>
      </c>
      <c r="E261">
        <v>0</v>
      </c>
      <c r="F261">
        <v>0</v>
      </c>
      <c r="G261">
        <v>0</v>
      </c>
      <c r="I261" s="2">
        <v>21530</v>
      </c>
      <c r="J261" t="str">
        <f>VLOOKUP(I261,ZipToCntyTbl[#All],3,0)</f>
        <v>Allegany</v>
      </c>
      <c r="K261" s="2">
        <v>0</v>
      </c>
    </row>
    <row r="262" spans="1:11" x14ac:dyDescent="0.3">
      <c r="A262">
        <v>21530</v>
      </c>
      <c r="B262" t="s">
        <v>1416</v>
      </c>
      <c r="C262">
        <v>690</v>
      </c>
      <c r="D262">
        <v>20</v>
      </c>
      <c r="E262">
        <v>83</v>
      </c>
      <c r="F262">
        <v>0</v>
      </c>
      <c r="G262">
        <v>0</v>
      </c>
      <c r="I262" s="4">
        <v>21531</v>
      </c>
      <c r="J262" t="str">
        <f>VLOOKUP(I262,ZipToCntyTbl[#All],3,0)</f>
        <v>Garrett</v>
      </c>
      <c r="K262" s="4">
        <v>40</v>
      </c>
    </row>
    <row r="263" spans="1:11" x14ac:dyDescent="0.3">
      <c r="A263">
        <v>21531</v>
      </c>
      <c r="B263" t="s">
        <v>1416</v>
      </c>
      <c r="C263">
        <v>1010</v>
      </c>
      <c r="D263">
        <v>50</v>
      </c>
      <c r="E263">
        <v>129</v>
      </c>
      <c r="F263">
        <v>40</v>
      </c>
      <c r="G263">
        <v>25</v>
      </c>
      <c r="I263" s="2">
        <v>21532</v>
      </c>
      <c r="J263" t="str">
        <f>VLOOKUP(I263,ZipToCntyTbl[#All],3,0)</f>
        <v>Allegany</v>
      </c>
      <c r="K263" s="2">
        <v>170</v>
      </c>
    </row>
    <row r="264" spans="1:11" x14ac:dyDescent="0.3">
      <c r="A264">
        <v>21532</v>
      </c>
      <c r="B264" t="s">
        <v>1416</v>
      </c>
      <c r="C264">
        <v>5620</v>
      </c>
      <c r="D264">
        <v>130</v>
      </c>
      <c r="E264">
        <v>401</v>
      </c>
      <c r="F264">
        <v>170</v>
      </c>
      <c r="G264">
        <v>104</v>
      </c>
      <c r="I264" s="4">
        <v>21536</v>
      </c>
      <c r="J264" t="str">
        <f>VLOOKUP(I264,ZipToCntyTbl[#All],3,0)</f>
        <v>Garrett</v>
      </c>
      <c r="K264" s="4">
        <v>80</v>
      </c>
    </row>
    <row r="265" spans="1:11" x14ac:dyDescent="0.3">
      <c r="A265">
        <v>21536</v>
      </c>
      <c r="B265" t="s">
        <v>1416</v>
      </c>
      <c r="C265">
        <v>1830</v>
      </c>
      <c r="D265">
        <v>80</v>
      </c>
      <c r="E265">
        <v>284</v>
      </c>
      <c r="F265">
        <v>80</v>
      </c>
      <c r="G265">
        <v>53</v>
      </c>
      <c r="I265" s="2">
        <v>21538</v>
      </c>
      <c r="J265" t="str">
        <f>VLOOKUP(I265,ZipToCntyTbl[#All],3,0)</f>
        <v>Garrett</v>
      </c>
      <c r="K265" s="2">
        <v>0</v>
      </c>
    </row>
    <row r="266" spans="1:11" x14ac:dyDescent="0.3">
      <c r="A266">
        <v>21538</v>
      </c>
      <c r="B266" t="s">
        <v>1416</v>
      </c>
      <c r="C266">
        <v>270</v>
      </c>
      <c r="D266">
        <v>0</v>
      </c>
      <c r="E266">
        <v>0</v>
      </c>
      <c r="F266">
        <v>0</v>
      </c>
      <c r="G266">
        <v>0</v>
      </c>
      <c r="I266" s="4">
        <v>21539</v>
      </c>
      <c r="J266" t="str">
        <f>VLOOKUP(I266,ZipToCntyTbl[#All],3,0)</f>
        <v>Allegany</v>
      </c>
      <c r="K266" s="4">
        <v>40</v>
      </c>
    </row>
    <row r="267" spans="1:11" x14ac:dyDescent="0.3">
      <c r="A267">
        <v>21539</v>
      </c>
      <c r="B267" t="s">
        <v>1416</v>
      </c>
      <c r="C267">
        <v>1140</v>
      </c>
      <c r="D267">
        <v>20</v>
      </c>
      <c r="E267">
        <v>63</v>
      </c>
      <c r="F267">
        <v>40</v>
      </c>
      <c r="G267">
        <v>23</v>
      </c>
      <c r="I267" s="2">
        <v>21541</v>
      </c>
      <c r="J267" t="str">
        <f>VLOOKUP(I267,ZipToCntyTbl[#All],3,0)</f>
        <v>Garrett</v>
      </c>
      <c r="K267" s="2">
        <v>30</v>
      </c>
    </row>
    <row r="268" spans="1:11" x14ac:dyDescent="0.3">
      <c r="A268">
        <v>21541</v>
      </c>
      <c r="B268" t="s">
        <v>1416</v>
      </c>
      <c r="C268">
        <v>770</v>
      </c>
      <c r="D268">
        <v>30</v>
      </c>
      <c r="E268">
        <v>110</v>
      </c>
      <c r="F268">
        <v>30</v>
      </c>
      <c r="G268">
        <v>20</v>
      </c>
      <c r="I268" s="4">
        <v>21545</v>
      </c>
      <c r="J268" t="str">
        <f>VLOOKUP(I268,ZipToCntyTbl[#All],3,0)</f>
        <v>Allegany</v>
      </c>
      <c r="K268" s="4">
        <v>30</v>
      </c>
    </row>
    <row r="269" spans="1:11" x14ac:dyDescent="0.3">
      <c r="A269">
        <v>21545</v>
      </c>
      <c r="B269" t="s">
        <v>1416</v>
      </c>
      <c r="C269">
        <v>870</v>
      </c>
      <c r="D269">
        <v>0</v>
      </c>
      <c r="E269">
        <v>0</v>
      </c>
      <c r="F269">
        <v>30</v>
      </c>
      <c r="G269">
        <v>15</v>
      </c>
      <c r="I269" s="2">
        <v>21550</v>
      </c>
      <c r="J269" t="str">
        <f>VLOOKUP(I269,ZipToCntyTbl[#All],3,0)</f>
        <v>Garrett</v>
      </c>
      <c r="K269" s="2">
        <v>190</v>
      </c>
    </row>
    <row r="270" spans="1:11" x14ac:dyDescent="0.3">
      <c r="A270">
        <v>21550</v>
      </c>
      <c r="B270" t="s">
        <v>1416</v>
      </c>
      <c r="C270">
        <v>6290</v>
      </c>
      <c r="D270">
        <v>260</v>
      </c>
      <c r="E270">
        <v>870</v>
      </c>
      <c r="F270">
        <v>190</v>
      </c>
      <c r="G270">
        <v>142</v>
      </c>
      <c r="I270" s="4">
        <v>21555</v>
      </c>
      <c r="J270" t="str">
        <f>VLOOKUP(I270,ZipToCntyTbl[#All],3,0)</f>
        <v>Allegany</v>
      </c>
      <c r="K270" s="4">
        <v>0</v>
      </c>
    </row>
    <row r="271" spans="1:11" x14ac:dyDescent="0.3">
      <c r="A271">
        <v>21555</v>
      </c>
      <c r="B271" t="s">
        <v>1416</v>
      </c>
      <c r="C271">
        <v>730</v>
      </c>
      <c r="D271">
        <v>0</v>
      </c>
      <c r="E271">
        <v>0</v>
      </c>
      <c r="F271">
        <v>0</v>
      </c>
      <c r="G271">
        <v>0</v>
      </c>
      <c r="I271" s="2">
        <v>21557</v>
      </c>
      <c r="J271" t="str">
        <f>VLOOKUP(I271,ZipToCntyTbl[#All],3,0)</f>
        <v>Allegany</v>
      </c>
      <c r="K271" s="2">
        <v>0</v>
      </c>
    </row>
    <row r="272" spans="1:11" x14ac:dyDescent="0.3">
      <c r="A272">
        <v>21557</v>
      </c>
      <c r="B272" t="s">
        <v>1416</v>
      </c>
      <c r="C272">
        <v>800</v>
      </c>
      <c r="D272">
        <v>0</v>
      </c>
      <c r="E272">
        <v>0</v>
      </c>
      <c r="F272">
        <v>0</v>
      </c>
      <c r="G272">
        <v>0</v>
      </c>
      <c r="I272" s="4">
        <v>21561</v>
      </c>
      <c r="J272" t="str">
        <f>VLOOKUP(I272,ZipToCntyTbl[#All],3,0)</f>
        <v>Garrett</v>
      </c>
      <c r="K272" s="4">
        <v>30</v>
      </c>
    </row>
    <row r="273" spans="1:11" x14ac:dyDescent="0.3">
      <c r="A273">
        <v>21561</v>
      </c>
      <c r="B273" t="s">
        <v>1416</v>
      </c>
      <c r="C273">
        <v>1130</v>
      </c>
      <c r="D273">
        <v>40</v>
      </c>
      <c r="E273">
        <v>134</v>
      </c>
      <c r="F273">
        <v>30</v>
      </c>
      <c r="G273">
        <v>19</v>
      </c>
      <c r="I273" s="2">
        <v>21562</v>
      </c>
      <c r="J273" t="str">
        <f>VLOOKUP(I273,ZipToCntyTbl[#All],3,0)</f>
        <v>Allegany</v>
      </c>
      <c r="K273" s="2">
        <v>50</v>
      </c>
    </row>
    <row r="274" spans="1:11" x14ac:dyDescent="0.3">
      <c r="A274">
        <v>21562</v>
      </c>
      <c r="B274" t="s">
        <v>1416</v>
      </c>
      <c r="C274">
        <v>1210</v>
      </c>
      <c r="D274">
        <v>20</v>
      </c>
      <c r="E274">
        <v>57</v>
      </c>
      <c r="F274">
        <v>50</v>
      </c>
      <c r="G274">
        <v>27</v>
      </c>
      <c r="I274" s="4">
        <v>21601</v>
      </c>
      <c r="J274" t="str">
        <f>VLOOKUP(I274,ZipToCntyTbl[#All],3,0)</f>
        <v>Talbot</v>
      </c>
      <c r="K274" s="4">
        <v>290</v>
      </c>
    </row>
    <row r="275" spans="1:11" x14ac:dyDescent="0.3">
      <c r="A275">
        <v>21601</v>
      </c>
      <c r="B275" t="s">
        <v>1416</v>
      </c>
      <c r="C275">
        <v>11950</v>
      </c>
      <c r="D275">
        <v>330</v>
      </c>
      <c r="E275">
        <v>1011</v>
      </c>
      <c r="F275">
        <v>290</v>
      </c>
      <c r="G275">
        <v>196</v>
      </c>
      <c r="I275" s="2">
        <v>21607</v>
      </c>
      <c r="J275" t="str">
        <f>VLOOKUP(I275,ZipToCntyTbl[#All],3,0)</f>
        <v>Queen Annes</v>
      </c>
      <c r="K275" s="2">
        <v>0</v>
      </c>
    </row>
    <row r="276" spans="1:11" x14ac:dyDescent="0.3">
      <c r="A276">
        <v>21607</v>
      </c>
      <c r="B276" t="s">
        <v>1416</v>
      </c>
      <c r="C276">
        <v>220</v>
      </c>
      <c r="D276">
        <v>0</v>
      </c>
      <c r="E276">
        <v>0</v>
      </c>
      <c r="F276">
        <v>0</v>
      </c>
      <c r="G276">
        <v>0</v>
      </c>
      <c r="I276" s="4">
        <v>21610</v>
      </c>
      <c r="J276" t="str">
        <f>VLOOKUP(I276,ZipToCntyTbl[#All],3,0)</f>
        <v>Kent</v>
      </c>
      <c r="K276" s="4">
        <v>0</v>
      </c>
    </row>
    <row r="277" spans="1:11" x14ac:dyDescent="0.3">
      <c r="A277">
        <v>21610</v>
      </c>
      <c r="B277" t="s">
        <v>1416</v>
      </c>
      <c r="C277">
        <v>170</v>
      </c>
      <c r="D277">
        <v>0</v>
      </c>
      <c r="E277">
        <v>0</v>
      </c>
      <c r="F277">
        <v>0</v>
      </c>
      <c r="G277">
        <v>0</v>
      </c>
      <c r="I277" s="2">
        <v>21612</v>
      </c>
      <c r="J277" t="str">
        <f>VLOOKUP(I277,ZipToCntyTbl[#All],3,0)</f>
        <v>Talbot</v>
      </c>
      <c r="K277" s="2">
        <v>0</v>
      </c>
    </row>
    <row r="278" spans="1:11" x14ac:dyDescent="0.3">
      <c r="A278">
        <v>21612</v>
      </c>
      <c r="B278" t="s">
        <v>1416</v>
      </c>
      <c r="C278">
        <v>220</v>
      </c>
      <c r="D278">
        <v>0</v>
      </c>
      <c r="E278">
        <v>0</v>
      </c>
      <c r="F278">
        <v>0</v>
      </c>
      <c r="G278">
        <v>0</v>
      </c>
      <c r="I278" s="4">
        <v>21613</v>
      </c>
      <c r="J278" t="str">
        <f>VLOOKUP(I278,ZipToCntyTbl[#All],3,0)</f>
        <v>Dorchester</v>
      </c>
      <c r="K278" s="4">
        <v>220</v>
      </c>
    </row>
    <row r="279" spans="1:11" x14ac:dyDescent="0.3">
      <c r="A279">
        <v>21613</v>
      </c>
      <c r="B279" t="s">
        <v>1416</v>
      </c>
      <c r="C279">
        <v>8170</v>
      </c>
      <c r="D279">
        <v>230</v>
      </c>
      <c r="E279">
        <v>651</v>
      </c>
      <c r="F279">
        <v>220</v>
      </c>
      <c r="G279">
        <v>145</v>
      </c>
      <c r="I279" s="2">
        <v>21617</v>
      </c>
      <c r="J279" t="str">
        <f>VLOOKUP(I279,ZipToCntyTbl[#All],3,0)</f>
        <v>Queen Annes</v>
      </c>
      <c r="K279" s="2">
        <v>80</v>
      </c>
    </row>
    <row r="280" spans="1:11" x14ac:dyDescent="0.3">
      <c r="A280">
        <v>21617</v>
      </c>
      <c r="B280" t="s">
        <v>1416</v>
      </c>
      <c r="C280">
        <v>5050</v>
      </c>
      <c r="D280">
        <v>140</v>
      </c>
      <c r="E280">
        <v>409</v>
      </c>
      <c r="F280">
        <v>80</v>
      </c>
      <c r="G280">
        <v>62</v>
      </c>
      <c r="I280" s="4">
        <v>21619</v>
      </c>
      <c r="J280" t="str">
        <f>VLOOKUP(I280,ZipToCntyTbl[#All],3,0)</f>
        <v>Queen Annes</v>
      </c>
      <c r="K280" s="4">
        <v>80</v>
      </c>
    </row>
    <row r="281" spans="1:11" x14ac:dyDescent="0.3">
      <c r="A281">
        <v>21619</v>
      </c>
      <c r="B281" t="s">
        <v>1416</v>
      </c>
      <c r="C281">
        <v>3450</v>
      </c>
      <c r="D281">
        <v>80</v>
      </c>
      <c r="E281">
        <v>270</v>
      </c>
      <c r="F281">
        <v>80</v>
      </c>
      <c r="G281">
        <v>57</v>
      </c>
      <c r="I281" s="2">
        <v>21620</v>
      </c>
      <c r="J281" t="str">
        <f>VLOOKUP(I281,ZipToCntyTbl[#All],3,0)</f>
        <v>Kent</v>
      </c>
      <c r="K281" s="2">
        <v>130</v>
      </c>
    </row>
    <row r="282" spans="1:11" x14ac:dyDescent="0.3">
      <c r="A282">
        <v>21620</v>
      </c>
      <c r="B282" t="s">
        <v>1416</v>
      </c>
      <c r="C282">
        <v>5730</v>
      </c>
      <c r="D282">
        <v>140</v>
      </c>
      <c r="E282">
        <v>415</v>
      </c>
      <c r="F282">
        <v>130</v>
      </c>
      <c r="G282">
        <v>93</v>
      </c>
      <c r="I282" s="4">
        <v>21622</v>
      </c>
      <c r="J282" t="str">
        <f>VLOOKUP(I282,ZipToCntyTbl[#All],3,0)</f>
        <v>Dorchester</v>
      </c>
      <c r="K282" s="4">
        <v>0</v>
      </c>
    </row>
    <row r="283" spans="1:11" x14ac:dyDescent="0.3">
      <c r="A283">
        <v>21622</v>
      </c>
      <c r="B283" t="s">
        <v>1416</v>
      </c>
      <c r="C283">
        <v>250</v>
      </c>
      <c r="D283">
        <v>0</v>
      </c>
      <c r="E283">
        <v>0</v>
      </c>
      <c r="F283">
        <v>0</v>
      </c>
      <c r="G283">
        <v>0</v>
      </c>
      <c r="I283" s="2">
        <v>21623</v>
      </c>
      <c r="J283" t="str">
        <f>VLOOKUP(I283,ZipToCntyTbl[#All],3,0)</f>
        <v>Queen Annes</v>
      </c>
      <c r="K283" s="2">
        <v>0</v>
      </c>
    </row>
    <row r="284" spans="1:11" x14ac:dyDescent="0.3">
      <c r="A284">
        <v>21623</v>
      </c>
      <c r="B284" t="s">
        <v>1416</v>
      </c>
      <c r="C284">
        <v>920</v>
      </c>
      <c r="D284">
        <v>20</v>
      </c>
      <c r="E284">
        <v>54</v>
      </c>
      <c r="F284">
        <v>0</v>
      </c>
      <c r="G284">
        <v>0</v>
      </c>
      <c r="I284" s="4">
        <v>21625</v>
      </c>
      <c r="J284" t="str">
        <f>VLOOKUP(I284,ZipToCntyTbl[#All],3,0)</f>
        <v>Talbot</v>
      </c>
      <c r="K284" s="4">
        <v>20</v>
      </c>
    </row>
    <row r="285" spans="1:11" x14ac:dyDescent="0.3">
      <c r="A285">
        <v>21625</v>
      </c>
      <c r="B285" t="s">
        <v>1416</v>
      </c>
      <c r="C285">
        <v>1120</v>
      </c>
      <c r="D285">
        <v>50</v>
      </c>
      <c r="E285">
        <v>157</v>
      </c>
      <c r="F285">
        <v>20</v>
      </c>
      <c r="G285">
        <v>14</v>
      </c>
      <c r="I285" s="2">
        <v>21629</v>
      </c>
      <c r="J285" t="str">
        <f>VLOOKUP(I285,ZipToCntyTbl[#All],3,0)</f>
        <v>Caroline</v>
      </c>
      <c r="K285" s="2">
        <v>90</v>
      </c>
    </row>
    <row r="286" spans="1:11" x14ac:dyDescent="0.3">
      <c r="A286">
        <v>21629</v>
      </c>
      <c r="B286" t="s">
        <v>1416</v>
      </c>
      <c r="C286">
        <v>4340</v>
      </c>
      <c r="D286">
        <v>120</v>
      </c>
      <c r="E286">
        <v>359</v>
      </c>
      <c r="F286">
        <v>90</v>
      </c>
      <c r="G286">
        <v>76</v>
      </c>
      <c r="I286" s="4">
        <v>21631</v>
      </c>
      <c r="J286" t="str">
        <f>VLOOKUP(I286,ZipToCntyTbl[#All],3,0)</f>
        <v>Dorchester</v>
      </c>
      <c r="K286" s="4">
        <v>20</v>
      </c>
    </row>
    <row r="287" spans="1:11" x14ac:dyDescent="0.3">
      <c r="A287">
        <v>21631</v>
      </c>
      <c r="B287" t="s">
        <v>1416</v>
      </c>
      <c r="C287">
        <v>1180</v>
      </c>
      <c r="D287">
        <v>30</v>
      </c>
      <c r="E287">
        <v>81</v>
      </c>
      <c r="F287">
        <v>20</v>
      </c>
      <c r="G287">
        <v>12</v>
      </c>
      <c r="I287" s="2">
        <v>21632</v>
      </c>
      <c r="J287" t="str">
        <f>VLOOKUP(I287,ZipToCntyTbl[#All],3,0)</f>
        <v>Caroline</v>
      </c>
      <c r="K287" s="2">
        <v>90</v>
      </c>
    </row>
    <row r="288" spans="1:11" x14ac:dyDescent="0.3">
      <c r="A288">
        <v>21632</v>
      </c>
      <c r="B288" t="s">
        <v>1416</v>
      </c>
      <c r="C288">
        <v>2840</v>
      </c>
      <c r="D288">
        <v>80</v>
      </c>
      <c r="E288">
        <v>248</v>
      </c>
      <c r="F288">
        <v>90</v>
      </c>
      <c r="G288">
        <v>62</v>
      </c>
      <c r="I288" s="4">
        <v>21634</v>
      </c>
      <c r="J288" t="str">
        <f>VLOOKUP(I288,ZipToCntyTbl[#All],3,0)</f>
        <v>Dorchester</v>
      </c>
      <c r="K288" s="4">
        <v>0</v>
      </c>
    </row>
    <row r="289" spans="1:11" x14ac:dyDescent="0.3">
      <c r="A289">
        <v>21634</v>
      </c>
      <c r="B289" t="s">
        <v>1416</v>
      </c>
      <c r="C289">
        <v>340</v>
      </c>
      <c r="D289">
        <v>0</v>
      </c>
      <c r="E289">
        <v>0</v>
      </c>
      <c r="F289">
        <v>0</v>
      </c>
      <c r="G289">
        <v>0</v>
      </c>
      <c r="I289" s="2">
        <v>21635</v>
      </c>
      <c r="J289" t="str">
        <f>VLOOKUP(I289,ZipToCntyTbl[#All],3,0)</f>
        <v>Kent</v>
      </c>
      <c r="K289" s="2">
        <v>0</v>
      </c>
    </row>
    <row r="290" spans="1:11" x14ac:dyDescent="0.3">
      <c r="A290">
        <v>21635</v>
      </c>
      <c r="B290" t="s">
        <v>1416</v>
      </c>
      <c r="C290">
        <v>990</v>
      </c>
      <c r="D290">
        <v>30</v>
      </c>
      <c r="E290">
        <v>80</v>
      </c>
      <c r="F290">
        <v>0</v>
      </c>
      <c r="G290">
        <v>0</v>
      </c>
      <c r="I290" s="4">
        <v>21636</v>
      </c>
      <c r="J290" t="str">
        <f>VLOOKUP(I290,ZipToCntyTbl[#All],3,0)</f>
        <v>Caroline</v>
      </c>
      <c r="K290" s="4">
        <v>0</v>
      </c>
    </row>
    <row r="291" spans="1:11" x14ac:dyDescent="0.3">
      <c r="A291">
        <v>21636</v>
      </c>
      <c r="B291" t="s">
        <v>1416</v>
      </c>
      <c r="C291">
        <v>490</v>
      </c>
      <c r="D291">
        <v>0</v>
      </c>
      <c r="E291">
        <v>0</v>
      </c>
      <c r="F291">
        <v>0</v>
      </c>
      <c r="G291">
        <v>0</v>
      </c>
      <c r="I291" s="2">
        <v>21638</v>
      </c>
      <c r="J291" t="str">
        <f>VLOOKUP(I291,ZipToCntyTbl[#All],3,0)</f>
        <v>Queen Annes</v>
      </c>
      <c r="K291" s="2">
        <v>40</v>
      </c>
    </row>
    <row r="292" spans="1:11" x14ac:dyDescent="0.3">
      <c r="A292">
        <v>21638</v>
      </c>
      <c r="B292" t="s">
        <v>1416</v>
      </c>
      <c r="C292">
        <v>2480</v>
      </c>
      <c r="D292">
        <v>50</v>
      </c>
      <c r="E292">
        <v>146</v>
      </c>
      <c r="F292">
        <v>40</v>
      </c>
      <c r="G292">
        <v>24</v>
      </c>
      <c r="I292" s="4">
        <v>21639</v>
      </c>
      <c r="J292" t="str">
        <f>VLOOKUP(I292,ZipToCntyTbl[#All],3,0)</f>
        <v>Caroline</v>
      </c>
      <c r="K292" s="4">
        <v>80</v>
      </c>
    </row>
    <row r="293" spans="1:11" x14ac:dyDescent="0.3">
      <c r="A293">
        <v>21639</v>
      </c>
      <c r="B293" t="s">
        <v>1416</v>
      </c>
      <c r="C293">
        <v>2110</v>
      </c>
      <c r="D293">
        <v>50</v>
      </c>
      <c r="E293">
        <v>113</v>
      </c>
      <c r="F293">
        <v>80</v>
      </c>
      <c r="G293">
        <v>51</v>
      </c>
      <c r="I293" s="2">
        <v>21640</v>
      </c>
      <c r="J293" t="str">
        <f>VLOOKUP(I293,ZipToCntyTbl[#All],3,0)</f>
        <v>Caroline</v>
      </c>
      <c r="K293" s="2">
        <v>30</v>
      </c>
    </row>
    <row r="294" spans="1:11" x14ac:dyDescent="0.3">
      <c r="A294">
        <v>21640</v>
      </c>
      <c r="B294" t="s">
        <v>1416</v>
      </c>
      <c r="C294">
        <v>720</v>
      </c>
      <c r="D294">
        <v>0</v>
      </c>
      <c r="E294">
        <v>0</v>
      </c>
      <c r="F294">
        <v>30</v>
      </c>
      <c r="G294">
        <v>18</v>
      </c>
      <c r="I294" s="4">
        <v>21643</v>
      </c>
      <c r="J294" t="str">
        <f>VLOOKUP(I294,ZipToCntyTbl[#All],3,0)</f>
        <v>Dorchester</v>
      </c>
      <c r="K294" s="4">
        <v>70</v>
      </c>
    </row>
    <row r="295" spans="1:11" x14ac:dyDescent="0.3">
      <c r="A295">
        <v>21643</v>
      </c>
      <c r="B295" t="s">
        <v>1416</v>
      </c>
      <c r="C295">
        <v>2780</v>
      </c>
      <c r="D295">
        <v>60</v>
      </c>
      <c r="E295">
        <v>152</v>
      </c>
      <c r="F295">
        <v>70</v>
      </c>
      <c r="G295">
        <v>40</v>
      </c>
      <c r="I295" s="2">
        <v>21645</v>
      </c>
      <c r="J295" t="str">
        <f>VLOOKUP(I295,ZipToCntyTbl[#All],3,0)</f>
        <v>Kent</v>
      </c>
      <c r="K295" s="2">
        <v>0</v>
      </c>
    </row>
    <row r="296" spans="1:11" x14ac:dyDescent="0.3">
      <c r="A296">
        <v>21645</v>
      </c>
      <c r="B296" t="s">
        <v>1416</v>
      </c>
      <c r="C296">
        <v>440</v>
      </c>
      <c r="D296">
        <v>0</v>
      </c>
      <c r="E296">
        <v>0</v>
      </c>
      <c r="F296">
        <v>0</v>
      </c>
      <c r="G296">
        <v>0</v>
      </c>
      <c r="I296" s="4">
        <v>21647</v>
      </c>
      <c r="J296" t="str">
        <f>VLOOKUP(I296,ZipToCntyTbl[#All],3,0)</f>
        <v>Talbot</v>
      </c>
      <c r="K296" s="4">
        <v>0</v>
      </c>
    </row>
    <row r="297" spans="1:11" x14ac:dyDescent="0.3">
      <c r="A297">
        <v>21647</v>
      </c>
      <c r="B297" t="s">
        <v>1416</v>
      </c>
      <c r="C297">
        <v>170</v>
      </c>
      <c r="D297">
        <v>0</v>
      </c>
      <c r="E297">
        <v>0</v>
      </c>
      <c r="F297">
        <v>0</v>
      </c>
      <c r="G297">
        <v>0</v>
      </c>
      <c r="I297" s="2">
        <v>21649</v>
      </c>
      <c r="J297" t="str">
        <f>VLOOKUP(I297,ZipToCntyTbl[#All],3,0)</f>
        <v>Caroline</v>
      </c>
      <c r="K297" s="2">
        <v>40</v>
      </c>
    </row>
    <row r="298" spans="1:11" x14ac:dyDescent="0.3">
      <c r="A298">
        <v>21649</v>
      </c>
      <c r="B298" t="s">
        <v>1416</v>
      </c>
      <c r="C298">
        <v>780</v>
      </c>
      <c r="D298">
        <v>0</v>
      </c>
      <c r="E298">
        <v>0</v>
      </c>
      <c r="F298">
        <v>40</v>
      </c>
      <c r="G298">
        <v>26</v>
      </c>
      <c r="I298" s="4">
        <v>21650</v>
      </c>
      <c r="J298" t="str">
        <f>VLOOKUP(I298,ZipToCntyTbl[#All],3,0)</f>
        <v>Kent</v>
      </c>
      <c r="K298" s="4">
        <v>0</v>
      </c>
    </row>
    <row r="299" spans="1:11" x14ac:dyDescent="0.3">
      <c r="A299">
        <v>21650</v>
      </c>
      <c r="B299" t="s">
        <v>1416</v>
      </c>
      <c r="C299">
        <v>120</v>
      </c>
      <c r="D299">
        <v>0</v>
      </c>
      <c r="E299">
        <v>0</v>
      </c>
      <c r="F299">
        <v>0</v>
      </c>
      <c r="G299">
        <v>0</v>
      </c>
      <c r="I299" s="2">
        <v>21651</v>
      </c>
      <c r="J299" t="str">
        <f>VLOOKUP(I299,ZipToCntyTbl[#All],3,0)</f>
        <v>Kent</v>
      </c>
      <c r="K299" s="2">
        <v>30</v>
      </c>
    </row>
    <row r="300" spans="1:11" x14ac:dyDescent="0.3">
      <c r="A300">
        <v>21651</v>
      </c>
      <c r="B300" t="s">
        <v>1416</v>
      </c>
      <c r="C300">
        <v>1280</v>
      </c>
      <c r="D300">
        <v>30</v>
      </c>
      <c r="E300">
        <v>102</v>
      </c>
      <c r="F300">
        <v>30</v>
      </c>
      <c r="G300">
        <v>25</v>
      </c>
      <c r="I300" s="4">
        <v>21654</v>
      </c>
      <c r="J300" t="str">
        <f>VLOOKUP(I300,ZipToCntyTbl[#All],3,0)</f>
        <v>Talbot</v>
      </c>
      <c r="K300" s="4">
        <v>0</v>
      </c>
    </row>
    <row r="301" spans="1:11" x14ac:dyDescent="0.3">
      <c r="A301">
        <v>21654</v>
      </c>
      <c r="B301" t="s">
        <v>1416</v>
      </c>
      <c r="C301">
        <v>630</v>
      </c>
      <c r="D301">
        <v>0</v>
      </c>
      <c r="E301">
        <v>0</v>
      </c>
      <c r="F301">
        <v>0</v>
      </c>
      <c r="G301">
        <v>0</v>
      </c>
      <c r="I301" s="2">
        <v>21655</v>
      </c>
      <c r="J301" t="str">
        <f>VLOOKUP(I301,ZipToCntyTbl[#All],3,0)</f>
        <v>Caroline</v>
      </c>
      <c r="K301" s="2">
        <v>60</v>
      </c>
    </row>
    <row r="302" spans="1:11" x14ac:dyDescent="0.3">
      <c r="A302">
        <v>21655</v>
      </c>
      <c r="B302" t="s">
        <v>1416</v>
      </c>
      <c r="C302">
        <v>2360</v>
      </c>
      <c r="D302">
        <v>60</v>
      </c>
      <c r="E302">
        <v>186</v>
      </c>
      <c r="F302">
        <v>60</v>
      </c>
      <c r="G302">
        <v>42</v>
      </c>
      <c r="I302" s="4">
        <v>21657</v>
      </c>
      <c r="J302" t="str">
        <f>VLOOKUP(I302,ZipToCntyTbl[#All],3,0)</f>
        <v>Queen Annes</v>
      </c>
      <c r="K302" s="4">
        <v>0</v>
      </c>
    </row>
    <row r="303" spans="1:11" x14ac:dyDescent="0.3">
      <c r="A303">
        <v>21657</v>
      </c>
      <c r="B303" t="s">
        <v>1416</v>
      </c>
      <c r="C303">
        <v>540</v>
      </c>
      <c r="D303">
        <v>0</v>
      </c>
      <c r="E303">
        <v>0</v>
      </c>
      <c r="F303">
        <v>0</v>
      </c>
      <c r="G303">
        <v>0</v>
      </c>
      <c r="I303" s="2">
        <v>21658</v>
      </c>
      <c r="J303" t="str">
        <f>VLOOKUP(I303,ZipToCntyTbl[#All],3,0)</f>
        <v>Queen Annes</v>
      </c>
      <c r="K303" s="2">
        <v>30</v>
      </c>
    </row>
    <row r="304" spans="1:11" x14ac:dyDescent="0.3">
      <c r="A304">
        <v>21658</v>
      </c>
      <c r="B304" t="s">
        <v>1416</v>
      </c>
      <c r="C304">
        <v>1890</v>
      </c>
      <c r="D304">
        <v>40</v>
      </c>
      <c r="E304">
        <v>133</v>
      </c>
      <c r="F304">
        <v>30</v>
      </c>
      <c r="G304">
        <v>14</v>
      </c>
      <c r="I304" s="4">
        <v>21659</v>
      </c>
      <c r="J304" t="str">
        <f>VLOOKUP(I304,ZipToCntyTbl[#All],3,0)</f>
        <v>Dorchester</v>
      </c>
      <c r="K304" s="4">
        <v>0</v>
      </c>
    </row>
    <row r="305" spans="1:11" x14ac:dyDescent="0.3">
      <c r="A305">
        <v>21659</v>
      </c>
      <c r="B305" t="s">
        <v>1416</v>
      </c>
      <c r="C305">
        <v>400</v>
      </c>
      <c r="D305">
        <v>0</v>
      </c>
      <c r="E305">
        <v>0</v>
      </c>
      <c r="F305">
        <v>0</v>
      </c>
      <c r="G305">
        <v>0</v>
      </c>
      <c r="I305" s="2">
        <v>21660</v>
      </c>
      <c r="J305" t="str">
        <f>VLOOKUP(I305,ZipToCntyTbl[#All],3,0)</f>
        <v>Caroline</v>
      </c>
      <c r="K305" s="2">
        <v>50</v>
      </c>
    </row>
    <row r="306" spans="1:11" x14ac:dyDescent="0.3">
      <c r="A306">
        <v>21660</v>
      </c>
      <c r="B306" t="s">
        <v>1416</v>
      </c>
      <c r="C306">
        <v>1850</v>
      </c>
      <c r="D306">
        <v>40</v>
      </c>
      <c r="E306">
        <v>81</v>
      </c>
      <c r="F306">
        <v>50</v>
      </c>
      <c r="G306">
        <v>37</v>
      </c>
      <c r="I306" s="4">
        <v>21661</v>
      </c>
      <c r="J306" t="str">
        <f>VLOOKUP(I306,ZipToCntyTbl[#All],3,0)</f>
        <v>Kent</v>
      </c>
      <c r="K306" s="4">
        <v>20</v>
      </c>
    </row>
    <row r="307" spans="1:11" x14ac:dyDescent="0.3">
      <c r="A307">
        <v>21661</v>
      </c>
      <c r="B307" t="s">
        <v>1416</v>
      </c>
      <c r="C307">
        <v>1200</v>
      </c>
      <c r="D307">
        <v>40</v>
      </c>
      <c r="E307">
        <v>105</v>
      </c>
      <c r="F307">
        <v>20</v>
      </c>
      <c r="G307">
        <v>13</v>
      </c>
      <c r="I307" s="2">
        <v>21662</v>
      </c>
      <c r="J307" t="str">
        <f>VLOOKUP(I307,ZipToCntyTbl[#All],3,0)</f>
        <v>Talbot</v>
      </c>
      <c r="K307" s="2">
        <v>0</v>
      </c>
    </row>
    <row r="308" spans="1:11" x14ac:dyDescent="0.3">
      <c r="A308">
        <v>21662</v>
      </c>
      <c r="B308" t="s">
        <v>1416</v>
      </c>
      <c r="C308">
        <v>400</v>
      </c>
      <c r="D308">
        <v>0</v>
      </c>
      <c r="E308">
        <v>0</v>
      </c>
      <c r="F308">
        <v>0</v>
      </c>
      <c r="G308">
        <v>0</v>
      </c>
      <c r="I308" s="4">
        <v>21663</v>
      </c>
      <c r="J308" t="str">
        <f>VLOOKUP(I308,ZipToCntyTbl[#All],3,0)</f>
        <v>Talbot</v>
      </c>
      <c r="K308" s="4">
        <v>20</v>
      </c>
    </row>
    <row r="309" spans="1:11" x14ac:dyDescent="0.3">
      <c r="A309">
        <v>21663</v>
      </c>
      <c r="B309" t="s">
        <v>1416</v>
      </c>
      <c r="C309">
        <v>1540</v>
      </c>
      <c r="D309">
        <v>40</v>
      </c>
      <c r="E309">
        <v>117</v>
      </c>
      <c r="F309">
        <v>20</v>
      </c>
      <c r="G309">
        <v>16</v>
      </c>
      <c r="I309" s="2">
        <v>21665</v>
      </c>
      <c r="J309" t="str">
        <f>VLOOKUP(I309,ZipToCntyTbl[#All],3,0)</f>
        <v>Talbot</v>
      </c>
      <c r="K309" s="2">
        <v>0</v>
      </c>
    </row>
    <row r="310" spans="1:11" x14ac:dyDescent="0.3">
      <c r="A310">
        <v>21665</v>
      </c>
      <c r="B310" t="s">
        <v>1416</v>
      </c>
      <c r="C310">
        <v>120</v>
      </c>
      <c r="D310">
        <v>0</v>
      </c>
      <c r="E310">
        <v>0</v>
      </c>
      <c r="F310">
        <v>0</v>
      </c>
      <c r="G310">
        <v>0</v>
      </c>
      <c r="I310" s="4">
        <v>21666</v>
      </c>
      <c r="J310" t="str">
        <f>VLOOKUP(I310,ZipToCntyTbl[#All],3,0)</f>
        <v>Queen Annes</v>
      </c>
      <c r="K310" s="4">
        <v>110</v>
      </c>
    </row>
    <row r="311" spans="1:11" x14ac:dyDescent="0.3">
      <c r="A311">
        <v>21666</v>
      </c>
      <c r="B311" t="s">
        <v>1416</v>
      </c>
      <c r="C311">
        <v>6350</v>
      </c>
      <c r="D311">
        <v>120</v>
      </c>
      <c r="E311">
        <v>414</v>
      </c>
      <c r="F311">
        <v>110</v>
      </c>
      <c r="G311">
        <v>98</v>
      </c>
      <c r="I311" s="2">
        <v>21667</v>
      </c>
      <c r="J311" t="str">
        <f>VLOOKUP(I311,ZipToCntyTbl[#All],3,0)</f>
        <v>Kent</v>
      </c>
      <c r="K311" s="2">
        <v>0</v>
      </c>
    </row>
    <row r="312" spans="1:11" x14ac:dyDescent="0.3">
      <c r="A312">
        <v>21667</v>
      </c>
      <c r="B312" t="s">
        <v>1416</v>
      </c>
      <c r="C312">
        <v>170</v>
      </c>
      <c r="D312">
        <v>0</v>
      </c>
      <c r="E312">
        <v>0</v>
      </c>
      <c r="F312">
        <v>0</v>
      </c>
      <c r="G312">
        <v>0</v>
      </c>
      <c r="I312" s="4">
        <v>21668</v>
      </c>
      <c r="J312" t="str">
        <f>VLOOKUP(I312,ZipToCntyTbl[#All],3,0)</f>
        <v>Queen Annes</v>
      </c>
      <c r="K312" s="4">
        <v>20</v>
      </c>
    </row>
    <row r="313" spans="1:11" x14ac:dyDescent="0.3">
      <c r="A313">
        <v>21668</v>
      </c>
      <c r="B313" t="s">
        <v>1416</v>
      </c>
      <c r="C313">
        <v>790</v>
      </c>
      <c r="D313">
        <v>0</v>
      </c>
      <c r="E313">
        <v>0</v>
      </c>
      <c r="F313">
        <v>20</v>
      </c>
      <c r="G313">
        <v>16</v>
      </c>
      <c r="I313" s="2">
        <v>21671</v>
      </c>
      <c r="J313" t="str">
        <f>VLOOKUP(I313,ZipToCntyTbl[#All],3,0)</f>
        <v>Talbot</v>
      </c>
      <c r="K313" s="2">
        <v>0</v>
      </c>
    </row>
    <row r="314" spans="1:11" x14ac:dyDescent="0.3">
      <c r="A314">
        <v>21671</v>
      </c>
      <c r="B314" t="s">
        <v>1416</v>
      </c>
      <c r="C314">
        <v>350</v>
      </c>
      <c r="D314">
        <v>0</v>
      </c>
      <c r="E314">
        <v>0</v>
      </c>
      <c r="F314">
        <v>0</v>
      </c>
      <c r="G314">
        <v>0</v>
      </c>
      <c r="I314" s="4">
        <v>21673</v>
      </c>
      <c r="J314" t="str">
        <f>VLOOKUP(I314,ZipToCntyTbl[#All],3,0)</f>
        <v>Talbot</v>
      </c>
      <c r="K314" s="4">
        <v>50</v>
      </c>
    </row>
    <row r="315" spans="1:11" x14ac:dyDescent="0.3">
      <c r="A315">
        <v>21673</v>
      </c>
      <c r="B315" t="s">
        <v>1416</v>
      </c>
      <c r="C315">
        <v>1540</v>
      </c>
      <c r="D315">
        <v>50</v>
      </c>
      <c r="E315">
        <v>156</v>
      </c>
      <c r="F315">
        <v>50</v>
      </c>
      <c r="G315">
        <v>33</v>
      </c>
      <c r="I315" s="2">
        <v>21676</v>
      </c>
      <c r="J315" t="str">
        <f>VLOOKUP(I315,ZipToCntyTbl[#All],3,0)</f>
        <v>Talbot</v>
      </c>
      <c r="K315" s="2">
        <v>0</v>
      </c>
    </row>
    <row r="316" spans="1:11" x14ac:dyDescent="0.3">
      <c r="A316">
        <v>21676</v>
      </c>
      <c r="B316" t="s">
        <v>1416</v>
      </c>
      <c r="C316">
        <v>160</v>
      </c>
      <c r="D316">
        <v>0</v>
      </c>
      <c r="E316">
        <v>0</v>
      </c>
      <c r="F316">
        <v>0</v>
      </c>
      <c r="G316">
        <v>0</v>
      </c>
      <c r="I316" s="4">
        <v>21677</v>
      </c>
      <c r="J316" t="str">
        <f>VLOOKUP(I316,ZipToCntyTbl[#All],3,0)</f>
        <v>Dorchester</v>
      </c>
      <c r="K316" s="4">
        <v>0</v>
      </c>
    </row>
    <row r="317" spans="1:11" x14ac:dyDescent="0.3">
      <c r="A317">
        <v>21677</v>
      </c>
      <c r="B317" t="s">
        <v>1416</v>
      </c>
      <c r="C317">
        <v>220</v>
      </c>
      <c r="D317">
        <v>0</v>
      </c>
      <c r="E317">
        <v>0</v>
      </c>
      <c r="F317">
        <v>0</v>
      </c>
      <c r="G317">
        <v>0</v>
      </c>
      <c r="I317" s="2">
        <v>21678</v>
      </c>
      <c r="J317" t="str">
        <f>VLOOKUP(I317,ZipToCntyTbl[#All],3,0)</f>
        <v>Kent</v>
      </c>
      <c r="K317" s="2">
        <v>0</v>
      </c>
    </row>
    <row r="318" spans="1:11" x14ac:dyDescent="0.3">
      <c r="A318">
        <v>21678</v>
      </c>
      <c r="B318" t="s">
        <v>1416</v>
      </c>
      <c r="C318">
        <v>1070</v>
      </c>
      <c r="D318">
        <v>30</v>
      </c>
      <c r="E318">
        <v>110</v>
      </c>
      <c r="F318">
        <v>0</v>
      </c>
      <c r="G318">
        <v>0</v>
      </c>
      <c r="I318" s="4">
        <v>21679</v>
      </c>
      <c r="J318" t="str">
        <f>VLOOKUP(I318,ZipToCntyTbl[#All],3,0)</f>
        <v>Talbot</v>
      </c>
      <c r="K318" s="4">
        <v>0</v>
      </c>
    </row>
    <row r="319" spans="1:11" x14ac:dyDescent="0.3">
      <c r="A319">
        <v>21679</v>
      </c>
      <c r="B319" t="s">
        <v>1416</v>
      </c>
      <c r="C319">
        <v>250</v>
      </c>
      <c r="D319">
        <v>0</v>
      </c>
      <c r="E319">
        <v>0</v>
      </c>
      <c r="F319">
        <v>0</v>
      </c>
      <c r="G319">
        <v>0</v>
      </c>
      <c r="I319" s="2">
        <v>21701</v>
      </c>
      <c r="J319" t="str">
        <f>VLOOKUP(I319,ZipToCntyTbl[#All],3,0)</f>
        <v>Frederick</v>
      </c>
      <c r="K319" s="2">
        <v>470</v>
      </c>
    </row>
    <row r="320" spans="1:11" x14ac:dyDescent="0.3">
      <c r="A320">
        <v>21701</v>
      </c>
      <c r="B320" t="s">
        <v>1416</v>
      </c>
      <c r="C320">
        <v>19450</v>
      </c>
      <c r="D320">
        <v>490</v>
      </c>
      <c r="E320">
        <v>1348</v>
      </c>
      <c r="F320">
        <v>470</v>
      </c>
      <c r="G320">
        <v>334</v>
      </c>
      <c r="I320" s="4">
        <v>21702</v>
      </c>
      <c r="J320" t="str">
        <f>VLOOKUP(I320,ZipToCntyTbl[#All],3,0)</f>
        <v>Frederick</v>
      </c>
      <c r="K320" s="4">
        <v>610</v>
      </c>
    </row>
    <row r="321" spans="1:11" x14ac:dyDescent="0.3">
      <c r="A321">
        <v>21702</v>
      </c>
      <c r="B321" t="s">
        <v>1416</v>
      </c>
      <c r="C321">
        <v>21070</v>
      </c>
      <c r="D321">
        <v>550</v>
      </c>
      <c r="E321">
        <v>1678</v>
      </c>
      <c r="F321">
        <v>610</v>
      </c>
      <c r="G321">
        <v>438</v>
      </c>
      <c r="I321" s="2">
        <v>21703</v>
      </c>
      <c r="J321" t="str">
        <f>VLOOKUP(I321,ZipToCntyTbl[#All],3,0)</f>
        <v>Frederick</v>
      </c>
      <c r="K321" s="2">
        <v>540</v>
      </c>
    </row>
    <row r="322" spans="1:11" x14ac:dyDescent="0.3">
      <c r="A322">
        <v>21703</v>
      </c>
      <c r="B322" t="s">
        <v>1416</v>
      </c>
      <c r="C322">
        <v>18600</v>
      </c>
      <c r="D322">
        <v>490</v>
      </c>
      <c r="E322">
        <v>1505</v>
      </c>
      <c r="F322">
        <v>540</v>
      </c>
      <c r="G322">
        <v>363</v>
      </c>
      <c r="I322" s="4">
        <v>21704</v>
      </c>
      <c r="J322" t="str">
        <f>VLOOKUP(I322,ZipToCntyTbl[#All],3,0)</f>
        <v>Frederick</v>
      </c>
      <c r="K322" s="4">
        <v>110</v>
      </c>
    </row>
    <row r="323" spans="1:11" x14ac:dyDescent="0.3">
      <c r="A323">
        <v>21704</v>
      </c>
      <c r="B323" t="s">
        <v>1416</v>
      </c>
      <c r="C323">
        <v>6940</v>
      </c>
      <c r="D323">
        <v>150</v>
      </c>
      <c r="E323">
        <v>507</v>
      </c>
      <c r="F323">
        <v>110</v>
      </c>
      <c r="G323">
        <v>96</v>
      </c>
      <c r="I323" s="2">
        <v>21710</v>
      </c>
      <c r="J323" t="str">
        <f>VLOOKUP(I323,ZipToCntyTbl[#All],3,0)</f>
        <v>Frederick</v>
      </c>
      <c r="K323" s="2">
        <v>0</v>
      </c>
    </row>
    <row r="324" spans="1:11" x14ac:dyDescent="0.3">
      <c r="A324">
        <v>21710</v>
      </c>
      <c r="B324" t="s">
        <v>1416</v>
      </c>
      <c r="C324">
        <v>2220</v>
      </c>
      <c r="D324">
        <v>20</v>
      </c>
      <c r="E324">
        <v>58</v>
      </c>
      <c r="F324">
        <v>0</v>
      </c>
      <c r="G324">
        <v>0</v>
      </c>
      <c r="I324" s="4">
        <v>21711</v>
      </c>
      <c r="J324" t="str">
        <f>VLOOKUP(I324,ZipToCntyTbl[#All],3,0)</f>
        <v>Washington</v>
      </c>
      <c r="K324" s="4">
        <v>0</v>
      </c>
    </row>
    <row r="325" spans="1:11" x14ac:dyDescent="0.3">
      <c r="A325">
        <v>21711</v>
      </c>
      <c r="B325" t="s">
        <v>1416</v>
      </c>
      <c r="C325">
        <v>480</v>
      </c>
      <c r="D325">
        <v>0</v>
      </c>
      <c r="E325">
        <v>0</v>
      </c>
      <c r="F325">
        <v>0</v>
      </c>
      <c r="G325">
        <v>0</v>
      </c>
      <c r="I325" s="2">
        <v>21713</v>
      </c>
      <c r="J325" t="str">
        <f>VLOOKUP(I325,ZipToCntyTbl[#All],3,0)</f>
        <v>Washington</v>
      </c>
      <c r="K325" s="2">
        <v>120</v>
      </c>
    </row>
    <row r="326" spans="1:11" x14ac:dyDescent="0.3">
      <c r="A326">
        <v>21713</v>
      </c>
      <c r="B326" t="s">
        <v>1416</v>
      </c>
      <c r="C326">
        <v>4570</v>
      </c>
      <c r="D326">
        <v>140</v>
      </c>
      <c r="E326">
        <v>465</v>
      </c>
      <c r="F326">
        <v>120</v>
      </c>
      <c r="G326">
        <v>76</v>
      </c>
      <c r="I326" s="4">
        <v>21716</v>
      </c>
      <c r="J326" t="str">
        <f>VLOOKUP(I326,ZipToCntyTbl[#All],3,0)</f>
        <v>Frederick</v>
      </c>
      <c r="K326" s="4">
        <v>70</v>
      </c>
    </row>
    <row r="327" spans="1:11" x14ac:dyDescent="0.3">
      <c r="A327">
        <v>21716</v>
      </c>
      <c r="B327" t="s">
        <v>1416</v>
      </c>
      <c r="C327">
        <v>2830</v>
      </c>
      <c r="D327">
        <v>60</v>
      </c>
      <c r="E327">
        <v>168</v>
      </c>
      <c r="F327">
        <v>70</v>
      </c>
      <c r="G327">
        <v>46</v>
      </c>
      <c r="I327" s="2">
        <v>21718</v>
      </c>
      <c r="J327" t="str">
        <f>VLOOKUP(I327,ZipToCntyTbl[#All],3,0)</f>
        <v>Frederick</v>
      </c>
      <c r="K327" s="2">
        <v>0</v>
      </c>
    </row>
    <row r="328" spans="1:11" x14ac:dyDescent="0.3">
      <c r="A328">
        <v>21718</v>
      </c>
      <c r="B328" t="s">
        <v>1416</v>
      </c>
      <c r="C328">
        <v>100</v>
      </c>
      <c r="D328">
        <v>0</v>
      </c>
      <c r="E328">
        <v>0</v>
      </c>
      <c r="F328">
        <v>0</v>
      </c>
      <c r="G328">
        <v>0</v>
      </c>
      <c r="I328" s="4">
        <v>21719</v>
      </c>
      <c r="J328" t="str">
        <f>VLOOKUP(I328,ZipToCntyTbl[#All],3,0)</f>
        <v>Washington</v>
      </c>
      <c r="K328" s="4">
        <v>30</v>
      </c>
    </row>
    <row r="329" spans="1:11" x14ac:dyDescent="0.3">
      <c r="A329">
        <v>21719</v>
      </c>
      <c r="B329" t="s">
        <v>1416</v>
      </c>
      <c r="C329">
        <v>640</v>
      </c>
      <c r="D329">
        <v>0</v>
      </c>
      <c r="E329">
        <v>0</v>
      </c>
      <c r="F329">
        <v>30</v>
      </c>
      <c r="G329">
        <v>24</v>
      </c>
      <c r="I329" s="2">
        <v>21722</v>
      </c>
      <c r="J329" t="str">
        <f>VLOOKUP(I329,ZipToCntyTbl[#All],3,0)</f>
        <v>Washington</v>
      </c>
      <c r="K329" s="2">
        <v>70</v>
      </c>
    </row>
    <row r="330" spans="1:11" x14ac:dyDescent="0.3">
      <c r="A330">
        <v>21722</v>
      </c>
      <c r="B330" t="s">
        <v>1416</v>
      </c>
      <c r="C330">
        <v>2720</v>
      </c>
      <c r="D330">
        <v>60</v>
      </c>
      <c r="E330">
        <v>163</v>
      </c>
      <c r="F330">
        <v>70</v>
      </c>
      <c r="G330">
        <v>49</v>
      </c>
      <c r="I330" s="4">
        <v>21723</v>
      </c>
      <c r="J330" t="str">
        <f>VLOOKUP(I330,ZipToCntyTbl[#All],3,0)</f>
        <v>Howard</v>
      </c>
      <c r="K330" s="4">
        <v>0</v>
      </c>
    </row>
    <row r="331" spans="1:11" x14ac:dyDescent="0.3">
      <c r="A331">
        <v>21723</v>
      </c>
      <c r="B331" t="s">
        <v>1416</v>
      </c>
      <c r="C331">
        <v>390</v>
      </c>
      <c r="D331">
        <v>0</v>
      </c>
      <c r="E331">
        <v>0</v>
      </c>
      <c r="F331">
        <v>0</v>
      </c>
      <c r="G331">
        <v>0</v>
      </c>
      <c r="I331" s="2">
        <v>21727</v>
      </c>
      <c r="J331" t="str">
        <f>VLOOKUP(I331,ZipToCntyTbl[#All],3,0)</f>
        <v>Frederick</v>
      </c>
      <c r="K331" s="2">
        <v>60</v>
      </c>
    </row>
    <row r="332" spans="1:11" x14ac:dyDescent="0.3">
      <c r="A332">
        <v>21727</v>
      </c>
      <c r="B332" t="s">
        <v>1416</v>
      </c>
      <c r="C332">
        <v>2110</v>
      </c>
      <c r="D332">
        <v>40</v>
      </c>
      <c r="E332">
        <v>120</v>
      </c>
      <c r="F332">
        <v>60</v>
      </c>
      <c r="G332">
        <v>34</v>
      </c>
      <c r="I332" s="4">
        <v>21733</v>
      </c>
      <c r="J332" t="str">
        <f>VLOOKUP(I332,ZipToCntyTbl[#All],3,0)</f>
        <v>Washington</v>
      </c>
      <c r="K332" s="4">
        <v>0</v>
      </c>
    </row>
    <row r="333" spans="1:11" x14ac:dyDescent="0.3">
      <c r="A333">
        <v>21733</v>
      </c>
      <c r="B333" t="s">
        <v>1416</v>
      </c>
      <c r="C333">
        <v>580</v>
      </c>
      <c r="D333">
        <v>0</v>
      </c>
      <c r="E333">
        <v>0</v>
      </c>
      <c r="F333">
        <v>0</v>
      </c>
      <c r="G333">
        <v>0</v>
      </c>
      <c r="I333" s="2">
        <v>21737</v>
      </c>
      <c r="J333" t="str">
        <f>VLOOKUP(I333,ZipToCntyTbl[#All],3,0)</f>
        <v>Howard</v>
      </c>
      <c r="K333" s="2">
        <v>0</v>
      </c>
    </row>
    <row r="334" spans="1:11" x14ac:dyDescent="0.3">
      <c r="A334">
        <v>21737</v>
      </c>
      <c r="B334" t="s">
        <v>1416</v>
      </c>
      <c r="C334">
        <v>930</v>
      </c>
      <c r="D334">
        <v>0</v>
      </c>
      <c r="E334">
        <v>0</v>
      </c>
      <c r="F334">
        <v>0</v>
      </c>
      <c r="G334">
        <v>0</v>
      </c>
      <c r="I334" s="4">
        <v>21738</v>
      </c>
      <c r="J334" t="str">
        <f>VLOOKUP(I334,ZipToCntyTbl[#All],3,0)</f>
        <v>Howard</v>
      </c>
      <c r="K334" s="4">
        <v>0</v>
      </c>
    </row>
    <row r="335" spans="1:11" x14ac:dyDescent="0.3">
      <c r="A335">
        <v>21738</v>
      </c>
      <c r="B335" t="s">
        <v>1416</v>
      </c>
      <c r="C335">
        <v>1620</v>
      </c>
      <c r="D335">
        <v>0</v>
      </c>
      <c r="E335">
        <v>0</v>
      </c>
      <c r="F335">
        <v>0</v>
      </c>
      <c r="G335">
        <v>0</v>
      </c>
      <c r="I335" s="2">
        <v>21740</v>
      </c>
      <c r="J335" t="str">
        <f>VLOOKUP(I335,ZipToCntyTbl[#All],3,0)</f>
        <v>Washington</v>
      </c>
      <c r="K335" s="2">
        <v>830</v>
      </c>
    </row>
    <row r="336" spans="1:11" x14ac:dyDescent="0.3">
      <c r="A336">
        <v>21740</v>
      </c>
      <c r="B336" t="s">
        <v>1416</v>
      </c>
      <c r="C336">
        <v>27480</v>
      </c>
      <c r="D336">
        <v>670</v>
      </c>
      <c r="E336">
        <v>2177</v>
      </c>
      <c r="F336">
        <v>830</v>
      </c>
      <c r="G336">
        <v>577</v>
      </c>
      <c r="I336" s="4">
        <v>21742</v>
      </c>
      <c r="J336" t="str">
        <f>VLOOKUP(I336,ZipToCntyTbl[#All],3,0)</f>
        <v>Washington</v>
      </c>
      <c r="K336" s="4">
        <v>370</v>
      </c>
    </row>
    <row r="337" spans="1:11" x14ac:dyDescent="0.3">
      <c r="A337">
        <v>21742</v>
      </c>
      <c r="B337" t="s">
        <v>1416</v>
      </c>
      <c r="C337">
        <v>15570</v>
      </c>
      <c r="D337">
        <v>380</v>
      </c>
      <c r="E337">
        <v>1217</v>
      </c>
      <c r="F337">
        <v>370</v>
      </c>
      <c r="G337">
        <v>234</v>
      </c>
      <c r="I337" s="2">
        <v>21750</v>
      </c>
      <c r="J337" t="str">
        <f>VLOOKUP(I337,ZipToCntyTbl[#All],3,0)</f>
        <v>Washington</v>
      </c>
      <c r="K337" s="2">
        <v>30</v>
      </c>
    </row>
    <row r="338" spans="1:11" x14ac:dyDescent="0.3">
      <c r="A338">
        <v>21750</v>
      </c>
      <c r="B338" t="s">
        <v>1416</v>
      </c>
      <c r="C338">
        <v>1620</v>
      </c>
      <c r="D338">
        <v>50</v>
      </c>
      <c r="E338">
        <v>195</v>
      </c>
      <c r="F338">
        <v>30</v>
      </c>
      <c r="G338">
        <v>22</v>
      </c>
      <c r="I338" s="4">
        <v>21754</v>
      </c>
      <c r="J338" t="str">
        <f>VLOOKUP(I338,ZipToCntyTbl[#All],3,0)</f>
        <v>Frederick</v>
      </c>
      <c r="K338" s="4">
        <v>40</v>
      </c>
    </row>
    <row r="339" spans="1:11" x14ac:dyDescent="0.3">
      <c r="A339">
        <v>21754</v>
      </c>
      <c r="B339" t="s">
        <v>1416</v>
      </c>
      <c r="C339">
        <v>3130</v>
      </c>
      <c r="D339">
        <v>50</v>
      </c>
      <c r="E339">
        <v>163</v>
      </c>
      <c r="F339">
        <v>40</v>
      </c>
      <c r="G339">
        <v>26</v>
      </c>
      <c r="I339" s="2">
        <v>21755</v>
      </c>
      <c r="J339" t="str">
        <f>VLOOKUP(I339,ZipToCntyTbl[#All],3,0)</f>
        <v>Frederick</v>
      </c>
      <c r="K339" s="2">
        <v>60</v>
      </c>
    </row>
    <row r="340" spans="1:11" x14ac:dyDescent="0.3">
      <c r="A340">
        <v>21755</v>
      </c>
      <c r="B340" t="s">
        <v>1416</v>
      </c>
      <c r="C340">
        <v>2780</v>
      </c>
      <c r="D340">
        <v>40</v>
      </c>
      <c r="E340">
        <v>175</v>
      </c>
      <c r="F340">
        <v>60</v>
      </c>
      <c r="G340">
        <v>31</v>
      </c>
      <c r="I340" s="4">
        <v>21756</v>
      </c>
      <c r="J340" t="str">
        <f>VLOOKUP(I340,ZipToCntyTbl[#All],3,0)</f>
        <v>Washington</v>
      </c>
      <c r="K340" s="4">
        <v>40</v>
      </c>
    </row>
    <row r="341" spans="1:11" x14ac:dyDescent="0.3">
      <c r="A341">
        <v>21756</v>
      </c>
      <c r="B341" t="s">
        <v>1416</v>
      </c>
      <c r="C341">
        <v>1720</v>
      </c>
      <c r="D341">
        <v>40</v>
      </c>
      <c r="E341">
        <v>139</v>
      </c>
      <c r="F341">
        <v>40</v>
      </c>
      <c r="G341">
        <v>25</v>
      </c>
      <c r="I341" s="2">
        <v>21757</v>
      </c>
      <c r="J341" t="str">
        <f>VLOOKUP(I341,ZipToCntyTbl[#All],3,0)</f>
        <v>Carroll</v>
      </c>
      <c r="K341" s="2">
        <v>30</v>
      </c>
    </row>
    <row r="342" spans="1:11" x14ac:dyDescent="0.3">
      <c r="A342">
        <v>21757</v>
      </c>
      <c r="B342" t="s">
        <v>1416</v>
      </c>
      <c r="C342">
        <v>1360</v>
      </c>
      <c r="D342">
        <v>30</v>
      </c>
      <c r="E342">
        <v>89</v>
      </c>
      <c r="F342">
        <v>30</v>
      </c>
      <c r="G342">
        <v>21</v>
      </c>
      <c r="I342" s="4">
        <v>21758</v>
      </c>
      <c r="J342" t="str">
        <f>VLOOKUP(I342,ZipToCntyTbl[#All],3,0)</f>
        <v>Frederick</v>
      </c>
      <c r="K342" s="4">
        <v>30</v>
      </c>
    </row>
    <row r="343" spans="1:11" x14ac:dyDescent="0.3">
      <c r="A343">
        <v>21758</v>
      </c>
      <c r="B343" t="s">
        <v>1416</v>
      </c>
      <c r="C343">
        <v>2140</v>
      </c>
      <c r="D343">
        <v>60</v>
      </c>
      <c r="E343">
        <v>186</v>
      </c>
      <c r="F343">
        <v>30</v>
      </c>
      <c r="G343">
        <v>30</v>
      </c>
      <c r="I343" s="2">
        <v>21766</v>
      </c>
      <c r="J343" t="str">
        <f>VLOOKUP(I343,ZipToCntyTbl[#All],3,0)</f>
        <v>Allegany</v>
      </c>
      <c r="K343" s="2">
        <v>0</v>
      </c>
    </row>
    <row r="344" spans="1:11" x14ac:dyDescent="0.3">
      <c r="A344">
        <v>21766</v>
      </c>
      <c r="B344" t="s">
        <v>1416</v>
      </c>
      <c r="C344">
        <v>310</v>
      </c>
      <c r="D344">
        <v>0</v>
      </c>
      <c r="E344">
        <v>0</v>
      </c>
      <c r="F344">
        <v>0</v>
      </c>
      <c r="G344">
        <v>0</v>
      </c>
      <c r="I344" s="4">
        <v>21767</v>
      </c>
      <c r="J344" t="str">
        <f>VLOOKUP(I344,ZipToCntyTbl[#All],3,0)</f>
        <v>Washington</v>
      </c>
      <c r="K344" s="4">
        <v>0</v>
      </c>
    </row>
    <row r="345" spans="1:11" x14ac:dyDescent="0.3">
      <c r="A345">
        <v>21767</v>
      </c>
      <c r="B345" t="s">
        <v>1416</v>
      </c>
      <c r="C345">
        <v>660</v>
      </c>
      <c r="D345">
        <v>0</v>
      </c>
      <c r="E345">
        <v>0</v>
      </c>
      <c r="F345">
        <v>0</v>
      </c>
      <c r="G345">
        <v>0</v>
      </c>
      <c r="I345" s="2">
        <v>21769</v>
      </c>
      <c r="J345" t="str">
        <f>VLOOKUP(I345,ZipToCntyTbl[#All],3,0)</f>
        <v>Frederick</v>
      </c>
      <c r="K345" s="2">
        <v>80</v>
      </c>
    </row>
    <row r="346" spans="1:11" x14ac:dyDescent="0.3">
      <c r="A346">
        <v>21769</v>
      </c>
      <c r="B346" t="s">
        <v>1416</v>
      </c>
      <c r="C346">
        <v>5710</v>
      </c>
      <c r="D346">
        <v>120</v>
      </c>
      <c r="E346">
        <v>411</v>
      </c>
      <c r="F346">
        <v>80</v>
      </c>
      <c r="G346">
        <v>53</v>
      </c>
      <c r="I346" s="4">
        <v>21770</v>
      </c>
      <c r="J346" t="str">
        <f>VLOOKUP(I346,ZipToCntyTbl[#All],3,0)</f>
        <v>Frederick</v>
      </c>
      <c r="K346" s="4">
        <v>40</v>
      </c>
    </row>
    <row r="347" spans="1:11" x14ac:dyDescent="0.3">
      <c r="A347">
        <v>21770</v>
      </c>
      <c r="B347" t="s">
        <v>1416</v>
      </c>
      <c r="C347">
        <v>2960</v>
      </c>
      <c r="D347">
        <v>60</v>
      </c>
      <c r="E347">
        <v>159</v>
      </c>
      <c r="F347">
        <v>40</v>
      </c>
      <c r="G347">
        <v>28</v>
      </c>
      <c r="I347" s="2">
        <v>21771</v>
      </c>
      <c r="J347" t="str">
        <f>VLOOKUP(I347,ZipToCntyTbl[#All],3,0)</f>
        <v>Frederick</v>
      </c>
      <c r="K347" s="2">
        <v>220</v>
      </c>
    </row>
    <row r="348" spans="1:11" x14ac:dyDescent="0.3">
      <c r="A348">
        <v>21771</v>
      </c>
      <c r="B348" t="s">
        <v>1416</v>
      </c>
      <c r="C348">
        <v>15010</v>
      </c>
      <c r="D348">
        <v>250</v>
      </c>
      <c r="E348">
        <v>840</v>
      </c>
      <c r="F348">
        <v>220</v>
      </c>
      <c r="G348">
        <v>162</v>
      </c>
      <c r="I348" s="4">
        <v>21773</v>
      </c>
      <c r="J348" t="str">
        <f>VLOOKUP(I348,ZipToCntyTbl[#All],3,0)</f>
        <v>Frederick</v>
      </c>
      <c r="K348" s="4">
        <v>50</v>
      </c>
    </row>
    <row r="349" spans="1:11" x14ac:dyDescent="0.3">
      <c r="A349">
        <v>21773</v>
      </c>
      <c r="B349" t="s">
        <v>1416</v>
      </c>
      <c r="C349">
        <v>2640</v>
      </c>
      <c r="D349">
        <v>50</v>
      </c>
      <c r="E349">
        <v>169</v>
      </c>
      <c r="F349">
        <v>50</v>
      </c>
      <c r="G349">
        <v>33</v>
      </c>
      <c r="I349" s="2">
        <v>21774</v>
      </c>
      <c r="J349" t="str">
        <f>VLOOKUP(I349,ZipToCntyTbl[#All],3,0)</f>
        <v>Frederick</v>
      </c>
      <c r="K349" s="2">
        <v>80</v>
      </c>
    </row>
    <row r="350" spans="1:11" x14ac:dyDescent="0.3">
      <c r="A350">
        <v>21774</v>
      </c>
      <c r="B350" t="s">
        <v>1416</v>
      </c>
      <c r="C350">
        <v>6260</v>
      </c>
      <c r="D350">
        <v>100</v>
      </c>
      <c r="E350">
        <v>276</v>
      </c>
      <c r="F350">
        <v>80</v>
      </c>
      <c r="G350">
        <v>47</v>
      </c>
      <c r="I350" s="4">
        <v>21776</v>
      </c>
      <c r="J350" t="str">
        <f>VLOOKUP(I350,ZipToCntyTbl[#All],3,0)</f>
        <v>Carroll</v>
      </c>
      <c r="K350" s="4">
        <v>40</v>
      </c>
    </row>
    <row r="351" spans="1:11" x14ac:dyDescent="0.3">
      <c r="A351">
        <v>21776</v>
      </c>
      <c r="B351" t="s">
        <v>1416</v>
      </c>
      <c r="C351">
        <v>2830</v>
      </c>
      <c r="D351">
        <v>70</v>
      </c>
      <c r="E351">
        <v>246</v>
      </c>
      <c r="F351">
        <v>40</v>
      </c>
      <c r="G351">
        <v>25</v>
      </c>
      <c r="I351" s="2">
        <v>21777</v>
      </c>
      <c r="J351" t="str">
        <f>VLOOKUP(I351,ZipToCntyTbl[#All],3,0)</f>
        <v>Frederick</v>
      </c>
      <c r="K351" s="2">
        <v>0</v>
      </c>
    </row>
    <row r="352" spans="1:11" x14ac:dyDescent="0.3">
      <c r="A352">
        <v>21777</v>
      </c>
      <c r="B352" t="s">
        <v>1416</v>
      </c>
      <c r="C352">
        <v>810</v>
      </c>
      <c r="D352">
        <v>0</v>
      </c>
      <c r="E352">
        <v>0</v>
      </c>
      <c r="F352">
        <v>0</v>
      </c>
      <c r="G352">
        <v>0</v>
      </c>
      <c r="I352" s="4">
        <v>21778</v>
      </c>
      <c r="J352" t="str">
        <f>VLOOKUP(I352,ZipToCntyTbl[#All],3,0)</f>
        <v>Frederick</v>
      </c>
      <c r="K352" s="4">
        <v>0</v>
      </c>
    </row>
    <row r="353" spans="1:11" x14ac:dyDescent="0.3">
      <c r="A353">
        <v>21778</v>
      </c>
      <c r="B353" t="s">
        <v>1416</v>
      </c>
      <c r="C353">
        <v>500</v>
      </c>
      <c r="D353">
        <v>0</v>
      </c>
      <c r="E353">
        <v>0</v>
      </c>
      <c r="F353">
        <v>0</v>
      </c>
      <c r="G353">
        <v>0</v>
      </c>
      <c r="I353" s="2">
        <v>21779</v>
      </c>
      <c r="J353" t="str">
        <f>VLOOKUP(I353,ZipToCntyTbl[#All],3,0)</f>
        <v>Washington</v>
      </c>
      <c r="K353" s="2">
        <v>0</v>
      </c>
    </row>
    <row r="354" spans="1:11" x14ac:dyDescent="0.3">
      <c r="A354">
        <v>21779</v>
      </c>
      <c r="B354" t="s">
        <v>1416</v>
      </c>
      <c r="C354">
        <v>490</v>
      </c>
      <c r="D354">
        <v>0</v>
      </c>
      <c r="E354">
        <v>0</v>
      </c>
      <c r="F354">
        <v>0</v>
      </c>
      <c r="G354">
        <v>0</v>
      </c>
      <c r="I354" s="4">
        <v>21780</v>
      </c>
      <c r="J354" t="str">
        <f>VLOOKUP(I354,ZipToCntyTbl[#All],3,0)</f>
        <v>Frederick</v>
      </c>
      <c r="K354" s="4">
        <v>30</v>
      </c>
    </row>
    <row r="355" spans="1:11" x14ac:dyDescent="0.3">
      <c r="A355">
        <v>21780</v>
      </c>
      <c r="B355" t="s">
        <v>1416</v>
      </c>
      <c r="C355">
        <v>790</v>
      </c>
      <c r="D355">
        <v>0</v>
      </c>
      <c r="E355">
        <v>0</v>
      </c>
      <c r="F355">
        <v>30</v>
      </c>
      <c r="G355">
        <v>21</v>
      </c>
      <c r="I355" s="2">
        <v>21782</v>
      </c>
      <c r="J355" t="str">
        <f>VLOOKUP(I355,ZipToCntyTbl[#All],3,0)</f>
        <v>Washington</v>
      </c>
      <c r="K355" s="2">
        <v>60</v>
      </c>
    </row>
    <row r="356" spans="1:11" x14ac:dyDescent="0.3">
      <c r="A356">
        <v>21782</v>
      </c>
      <c r="B356" t="s">
        <v>1416</v>
      </c>
      <c r="C356">
        <v>1920</v>
      </c>
      <c r="D356">
        <v>50</v>
      </c>
      <c r="E356">
        <v>243</v>
      </c>
      <c r="F356">
        <v>60</v>
      </c>
      <c r="G356">
        <v>39</v>
      </c>
      <c r="I356" s="4">
        <v>21783</v>
      </c>
      <c r="J356" t="str">
        <f>VLOOKUP(I356,ZipToCntyTbl[#All],3,0)</f>
        <v>Washington</v>
      </c>
      <c r="K356" s="4">
        <v>100</v>
      </c>
    </row>
    <row r="357" spans="1:11" x14ac:dyDescent="0.3">
      <c r="A357">
        <v>21783</v>
      </c>
      <c r="B357" t="s">
        <v>1416</v>
      </c>
      <c r="C357">
        <v>4220</v>
      </c>
      <c r="D357">
        <v>90</v>
      </c>
      <c r="E357">
        <v>316</v>
      </c>
      <c r="F357">
        <v>100</v>
      </c>
      <c r="G357">
        <v>65</v>
      </c>
      <c r="I357" s="2">
        <v>21784</v>
      </c>
      <c r="J357" t="str">
        <f>VLOOKUP(I357,ZipToCntyTbl[#All],3,0)</f>
        <v>Carroll</v>
      </c>
      <c r="K357" s="2">
        <v>230</v>
      </c>
    </row>
    <row r="358" spans="1:11" x14ac:dyDescent="0.3">
      <c r="A358">
        <v>21784</v>
      </c>
      <c r="B358" t="s">
        <v>1416</v>
      </c>
      <c r="C358">
        <v>19000</v>
      </c>
      <c r="D358">
        <v>330</v>
      </c>
      <c r="E358">
        <v>1107</v>
      </c>
      <c r="F358">
        <v>230</v>
      </c>
      <c r="G358">
        <v>161</v>
      </c>
      <c r="I358" s="4">
        <v>21787</v>
      </c>
      <c r="J358" t="str">
        <f>VLOOKUP(I358,ZipToCntyTbl[#All],3,0)</f>
        <v>Carroll</v>
      </c>
      <c r="K358" s="4">
        <v>120</v>
      </c>
    </row>
    <row r="359" spans="1:11" x14ac:dyDescent="0.3">
      <c r="A359">
        <v>21787</v>
      </c>
      <c r="B359" t="s">
        <v>1416</v>
      </c>
      <c r="C359">
        <v>5110</v>
      </c>
      <c r="D359">
        <v>120</v>
      </c>
      <c r="E359">
        <v>438</v>
      </c>
      <c r="F359">
        <v>120</v>
      </c>
      <c r="G359">
        <v>78</v>
      </c>
      <c r="I359" s="2">
        <v>21788</v>
      </c>
      <c r="J359" t="str">
        <f>VLOOKUP(I359,ZipToCntyTbl[#All],3,0)</f>
        <v>Frederick</v>
      </c>
      <c r="K359" s="2">
        <v>170</v>
      </c>
    </row>
    <row r="360" spans="1:11" x14ac:dyDescent="0.3">
      <c r="A360">
        <v>21788</v>
      </c>
      <c r="B360" t="s">
        <v>1416</v>
      </c>
      <c r="C360">
        <v>5850</v>
      </c>
      <c r="D360">
        <v>150</v>
      </c>
      <c r="E360">
        <v>534</v>
      </c>
      <c r="F360">
        <v>170</v>
      </c>
      <c r="G360">
        <v>122</v>
      </c>
      <c r="I360" s="4">
        <v>21791</v>
      </c>
      <c r="J360" t="str">
        <f>VLOOKUP(I360,ZipToCntyTbl[#All],3,0)</f>
        <v>Carroll</v>
      </c>
      <c r="K360" s="4">
        <v>60</v>
      </c>
    </row>
    <row r="361" spans="1:11" x14ac:dyDescent="0.3">
      <c r="A361">
        <v>21791</v>
      </c>
      <c r="B361" t="s">
        <v>1416</v>
      </c>
      <c r="C361">
        <v>2450</v>
      </c>
      <c r="D361">
        <v>70</v>
      </c>
      <c r="E361">
        <v>251</v>
      </c>
      <c r="F361">
        <v>60</v>
      </c>
      <c r="G361">
        <v>42</v>
      </c>
      <c r="I361" s="2">
        <v>21793</v>
      </c>
      <c r="J361" t="str">
        <f>VLOOKUP(I361,ZipToCntyTbl[#All],3,0)</f>
        <v>Frederick</v>
      </c>
      <c r="K361" s="2">
        <v>120</v>
      </c>
    </row>
    <row r="362" spans="1:11" x14ac:dyDescent="0.3">
      <c r="A362">
        <v>21793</v>
      </c>
      <c r="B362" t="s">
        <v>1416</v>
      </c>
      <c r="C362">
        <v>4990</v>
      </c>
      <c r="D362">
        <v>110</v>
      </c>
      <c r="E362">
        <v>325</v>
      </c>
      <c r="F362">
        <v>120</v>
      </c>
      <c r="G362">
        <v>78</v>
      </c>
      <c r="I362" s="4">
        <v>21794</v>
      </c>
      <c r="J362" t="str">
        <f>VLOOKUP(I362,ZipToCntyTbl[#All],3,0)</f>
        <v>Howard</v>
      </c>
      <c r="K362" s="4">
        <v>0</v>
      </c>
    </row>
    <row r="363" spans="1:11" x14ac:dyDescent="0.3">
      <c r="A363">
        <v>21794</v>
      </c>
      <c r="B363" t="s">
        <v>1416</v>
      </c>
      <c r="C363">
        <v>1180</v>
      </c>
      <c r="D363">
        <v>0</v>
      </c>
      <c r="E363">
        <v>0</v>
      </c>
      <c r="F363">
        <v>0</v>
      </c>
      <c r="G363">
        <v>0</v>
      </c>
      <c r="I363" s="2">
        <v>21795</v>
      </c>
      <c r="J363" t="str">
        <f>VLOOKUP(I363,ZipToCntyTbl[#All],3,0)</f>
        <v>Washington</v>
      </c>
      <c r="K363" s="2">
        <v>130</v>
      </c>
    </row>
    <row r="364" spans="1:11" x14ac:dyDescent="0.3">
      <c r="A364">
        <v>21795</v>
      </c>
      <c r="B364" t="s">
        <v>1416</v>
      </c>
      <c r="C364">
        <v>4640</v>
      </c>
      <c r="D364">
        <v>90</v>
      </c>
      <c r="E364">
        <v>344</v>
      </c>
      <c r="F364">
        <v>130</v>
      </c>
      <c r="G364">
        <v>86</v>
      </c>
      <c r="I364" s="4">
        <v>21797</v>
      </c>
      <c r="J364" t="str">
        <f>VLOOKUP(I364,ZipToCntyTbl[#All],3,0)</f>
        <v>Howard</v>
      </c>
      <c r="K364" s="4">
        <v>70</v>
      </c>
    </row>
    <row r="365" spans="1:11" x14ac:dyDescent="0.3">
      <c r="A365">
        <v>21797</v>
      </c>
      <c r="B365" t="s">
        <v>1416</v>
      </c>
      <c r="C365">
        <v>4460</v>
      </c>
      <c r="D365">
        <v>110</v>
      </c>
      <c r="E365">
        <v>379</v>
      </c>
      <c r="F365">
        <v>70</v>
      </c>
      <c r="G365">
        <v>44</v>
      </c>
      <c r="I365" s="2">
        <v>21798</v>
      </c>
      <c r="J365" t="str">
        <f>VLOOKUP(I365,ZipToCntyTbl[#All],3,0)</f>
        <v>Frederick</v>
      </c>
      <c r="K365" s="2">
        <v>30</v>
      </c>
    </row>
    <row r="366" spans="1:11" x14ac:dyDescent="0.3">
      <c r="A366">
        <v>21798</v>
      </c>
      <c r="B366" t="s">
        <v>1416</v>
      </c>
      <c r="C366">
        <v>1190</v>
      </c>
      <c r="D366">
        <v>0</v>
      </c>
      <c r="E366">
        <v>0</v>
      </c>
      <c r="F366">
        <v>30</v>
      </c>
      <c r="G366">
        <v>18</v>
      </c>
      <c r="I366" s="4">
        <v>21801</v>
      </c>
      <c r="J366" t="str">
        <f>VLOOKUP(I366,ZipToCntyTbl[#All],3,0)</f>
        <v>Wicomico</v>
      </c>
      <c r="K366" s="4">
        <v>290</v>
      </c>
    </row>
    <row r="367" spans="1:11" x14ac:dyDescent="0.3">
      <c r="A367">
        <v>21801</v>
      </c>
      <c r="B367" t="s">
        <v>1416</v>
      </c>
      <c r="C367">
        <v>12480</v>
      </c>
      <c r="D367">
        <v>300</v>
      </c>
      <c r="E367">
        <v>956</v>
      </c>
      <c r="F367">
        <v>290</v>
      </c>
      <c r="G367">
        <v>198</v>
      </c>
      <c r="I367" s="2">
        <v>21804</v>
      </c>
      <c r="J367" t="str">
        <f>VLOOKUP(I367,ZipToCntyTbl[#All],3,0)</f>
        <v>Wicomico</v>
      </c>
      <c r="K367" s="2">
        <v>490</v>
      </c>
    </row>
    <row r="368" spans="1:11" x14ac:dyDescent="0.3">
      <c r="A368">
        <v>21804</v>
      </c>
      <c r="B368" t="s">
        <v>1416</v>
      </c>
      <c r="C368">
        <v>17180</v>
      </c>
      <c r="D368">
        <v>480</v>
      </c>
      <c r="E368">
        <v>1538</v>
      </c>
      <c r="F368">
        <v>490</v>
      </c>
      <c r="G368">
        <v>326</v>
      </c>
      <c r="I368" s="4">
        <v>21811</v>
      </c>
      <c r="J368" t="str">
        <f>VLOOKUP(I368,ZipToCntyTbl[#All],3,0)</f>
        <v>Worcester</v>
      </c>
      <c r="K368" s="4">
        <v>300</v>
      </c>
    </row>
    <row r="369" spans="1:11" x14ac:dyDescent="0.3">
      <c r="A369">
        <v>21811</v>
      </c>
      <c r="B369" t="s">
        <v>1416</v>
      </c>
      <c r="C369">
        <v>11810</v>
      </c>
      <c r="D369">
        <v>470</v>
      </c>
      <c r="E369">
        <v>1557</v>
      </c>
      <c r="F369">
        <v>300</v>
      </c>
      <c r="G369">
        <v>221</v>
      </c>
      <c r="I369" s="2">
        <v>21813</v>
      </c>
      <c r="J369" t="str">
        <f>VLOOKUP(I369,ZipToCntyTbl[#All],3,0)</f>
        <v>Worcester</v>
      </c>
      <c r="K369" s="2">
        <v>50</v>
      </c>
    </row>
    <row r="370" spans="1:11" x14ac:dyDescent="0.3">
      <c r="A370">
        <v>21813</v>
      </c>
      <c r="B370" t="s">
        <v>1416</v>
      </c>
      <c r="C370">
        <v>1500</v>
      </c>
      <c r="D370">
        <v>70</v>
      </c>
      <c r="E370">
        <v>258</v>
      </c>
      <c r="F370">
        <v>50</v>
      </c>
      <c r="G370">
        <v>36</v>
      </c>
      <c r="I370" s="4">
        <v>21814</v>
      </c>
      <c r="J370" t="str">
        <f>VLOOKUP(I370,ZipToCntyTbl[#All],3,0)</f>
        <v>Wicomico</v>
      </c>
      <c r="K370" s="4">
        <v>0</v>
      </c>
    </row>
    <row r="371" spans="1:11" x14ac:dyDescent="0.3">
      <c r="A371">
        <v>21814</v>
      </c>
      <c r="B371" t="s">
        <v>1416</v>
      </c>
      <c r="C371">
        <v>160</v>
      </c>
      <c r="D371">
        <v>0</v>
      </c>
      <c r="E371">
        <v>0</v>
      </c>
      <c r="F371">
        <v>0</v>
      </c>
      <c r="G371">
        <v>0</v>
      </c>
      <c r="I371" s="2">
        <v>21817</v>
      </c>
      <c r="J371" t="str">
        <f>VLOOKUP(I371,ZipToCntyTbl[#All],3,0)</f>
        <v>Somerset</v>
      </c>
      <c r="K371" s="2">
        <v>40</v>
      </c>
    </row>
    <row r="372" spans="1:11" x14ac:dyDescent="0.3">
      <c r="A372">
        <v>21817</v>
      </c>
      <c r="B372" t="s">
        <v>1416</v>
      </c>
      <c r="C372">
        <v>2030</v>
      </c>
      <c r="D372">
        <v>50</v>
      </c>
      <c r="E372">
        <v>174</v>
      </c>
      <c r="F372">
        <v>40</v>
      </c>
      <c r="G372">
        <v>22</v>
      </c>
      <c r="I372" s="4">
        <v>21821</v>
      </c>
      <c r="J372" t="str">
        <f>VLOOKUP(I372,ZipToCntyTbl[#All],3,0)</f>
        <v>Somerset</v>
      </c>
      <c r="K372" s="4">
        <v>0</v>
      </c>
    </row>
    <row r="373" spans="1:11" x14ac:dyDescent="0.3">
      <c r="A373">
        <v>21821</v>
      </c>
      <c r="B373" t="s">
        <v>1416</v>
      </c>
      <c r="C373">
        <v>350</v>
      </c>
      <c r="D373">
        <v>0</v>
      </c>
      <c r="E373">
        <v>0</v>
      </c>
      <c r="F373">
        <v>0</v>
      </c>
      <c r="G373">
        <v>0</v>
      </c>
      <c r="I373" s="2">
        <v>21822</v>
      </c>
      <c r="J373" t="str">
        <f>VLOOKUP(I373,ZipToCntyTbl[#All],3,0)</f>
        <v>Worcester</v>
      </c>
      <c r="K373" s="2">
        <v>40</v>
      </c>
    </row>
    <row r="374" spans="1:11" x14ac:dyDescent="0.3">
      <c r="A374">
        <v>21822</v>
      </c>
      <c r="B374" t="s">
        <v>1416</v>
      </c>
      <c r="C374">
        <v>1280</v>
      </c>
      <c r="D374">
        <v>30</v>
      </c>
      <c r="E374">
        <v>111</v>
      </c>
      <c r="F374">
        <v>40</v>
      </c>
      <c r="G374">
        <v>26</v>
      </c>
      <c r="I374" s="4">
        <v>21826</v>
      </c>
      <c r="J374" t="str">
        <f>VLOOKUP(I374,ZipToCntyTbl[#All],3,0)</f>
        <v>Wicomico</v>
      </c>
      <c r="K374" s="4">
        <v>70</v>
      </c>
    </row>
    <row r="375" spans="1:11" x14ac:dyDescent="0.3">
      <c r="A375">
        <v>21826</v>
      </c>
      <c r="B375" t="s">
        <v>1416</v>
      </c>
      <c r="C375">
        <v>2290</v>
      </c>
      <c r="D375">
        <v>70</v>
      </c>
      <c r="E375">
        <v>160</v>
      </c>
      <c r="F375">
        <v>70</v>
      </c>
      <c r="G375">
        <v>55</v>
      </c>
      <c r="I375" s="2">
        <v>21829</v>
      </c>
      <c r="J375" t="str">
        <f>VLOOKUP(I375,ZipToCntyTbl[#All],3,0)</f>
        <v>Worcester</v>
      </c>
      <c r="K375" s="2">
        <v>0</v>
      </c>
    </row>
    <row r="376" spans="1:11" x14ac:dyDescent="0.3">
      <c r="A376">
        <v>21829</v>
      </c>
      <c r="B376" t="s">
        <v>1416</v>
      </c>
      <c r="C376">
        <v>240</v>
      </c>
      <c r="D376">
        <v>0</v>
      </c>
      <c r="E376">
        <v>0</v>
      </c>
      <c r="F376">
        <v>0</v>
      </c>
      <c r="G376">
        <v>0</v>
      </c>
      <c r="I376" s="4">
        <v>21830</v>
      </c>
      <c r="J376" t="str">
        <f>VLOOKUP(I376,ZipToCntyTbl[#All],3,0)</f>
        <v>Wicomico</v>
      </c>
      <c r="K376" s="4">
        <v>50</v>
      </c>
    </row>
    <row r="377" spans="1:11" x14ac:dyDescent="0.3">
      <c r="A377">
        <v>21830</v>
      </c>
      <c r="B377" t="s">
        <v>1416</v>
      </c>
      <c r="C377">
        <v>1990</v>
      </c>
      <c r="D377">
        <v>40</v>
      </c>
      <c r="E377">
        <v>121</v>
      </c>
      <c r="F377">
        <v>50</v>
      </c>
      <c r="G377">
        <v>41</v>
      </c>
      <c r="I377" s="2">
        <v>21835</v>
      </c>
      <c r="J377" t="str">
        <f>VLOOKUP(I377,ZipToCntyTbl[#All],3,0)</f>
        <v>Dorchester</v>
      </c>
      <c r="K377" s="2">
        <v>0</v>
      </c>
    </row>
    <row r="378" spans="1:11" x14ac:dyDescent="0.3">
      <c r="A378">
        <v>21835</v>
      </c>
      <c r="B378" t="s">
        <v>1416</v>
      </c>
      <c r="C378">
        <v>200</v>
      </c>
      <c r="D378">
        <v>0</v>
      </c>
      <c r="E378">
        <v>0</v>
      </c>
      <c r="F378">
        <v>0</v>
      </c>
      <c r="G378">
        <v>0</v>
      </c>
      <c r="I378" s="4">
        <v>21837</v>
      </c>
      <c r="J378" t="str">
        <f>VLOOKUP(I378,ZipToCntyTbl[#All],3,0)</f>
        <v>Wicomico</v>
      </c>
      <c r="K378" s="4">
        <v>30</v>
      </c>
    </row>
    <row r="379" spans="1:11" x14ac:dyDescent="0.3">
      <c r="A379">
        <v>21837</v>
      </c>
      <c r="B379" t="s">
        <v>1416</v>
      </c>
      <c r="C379">
        <v>1170</v>
      </c>
      <c r="D379">
        <v>40</v>
      </c>
      <c r="E379">
        <v>74</v>
      </c>
      <c r="F379">
        <v>30</v>
      </c>
      <c r="G379">
        <v>16</v>
      </c>
      <c r="I379" s="2">
        <v>21838</v>
      </c>
      <c r="J379" t="str">
        <f>VLOOKUP(I379,ZipToCntyTbl[#All],3,0)</f>
        <v>Somerset</v>
      </c>
      <c r="K379" s="2">
        <v>0</v>
      </c>
    </row>
    <row r="380" spans="1:11" x14ac:dyDescent="0.3">
      <c r="A380">
        <v>21838</v>
      </c>
      <c r="B380" t="s">
        <v>1416</v>
      </c>
      <c r="C380">
        <v>750</v>
      </c>
      <c r="D380">
        <v>0</v>
      </c>
      <c r="E380">
        <v>0</v>
      </c>
      <c r="F380">
        <v>0</v>
      </c>
      <c r="G380">
        <v>0</v>
      </c>
      <c r="I380" s="4">
        <v>21840</v>
      </c>
      <c r="J380" t="str">
        <f>VLOOKUP(I380,ZipToCntyTbl[#All],3,0)</f>
        <v>Wicomico</v>
      </c>
      <c r="K380" s="4">
        <v>0</v>
      </c>
    </row>
    <row r="381" spans="1:11" x14ac:dyDescent="0.3">
      <c r="A381">
        <v>21840</v>
      </c>
      <c r="B381" t="s">
        <v>1416</v>
      </c>
      <c r="C381">
        <v>170</v>
      </c>
      <c r="D381">
        <v>0</v>
      </c>
      <c r="E381">
        <v>0</v>
      </c>
      <c r="F381">
        <v>0</v>
      </c>
      <c r="G381">
        <v>0</v>
      </c>
      <c r="I381" s="2">
        <v>21841</v>
      </c>
      <c r="J381" t="str">
        <f>VLOOKUP(I381,ZipToCntyTbl[#All],3,0)</f>
        <v>Worcester</v>
      </c>
      <c r="K381" s="2">
        <v>0</v>
      </c>
    </row>
    <row r="382" spans="1:11" x14ac:dyDescent="0.3">
      <c r="A382">
        <v>21841</v>
      </c>
      <c r="B382" t="s">
        <v>1416</v>
      </c>
      <c r="C382">
        <v>440</v>
      </c>
      <c r="D382">
        <v>0</v>
      </c>
      <c r="E382">
        <v>0</v>
      </c>
      <c r="F382">
        <v>0</v>
      </c>
      <c r="G382">
        <v>0</v>
      </c>
      <c r="I382" s="4">
        <v>21842</v>
      </c>
      <c r="J382" t="str">
        <f>VLOOKUP(I382,ZipToCntyTbl[#All],3,0)</f>
        <v>Worcester</v>
      </c>
      <c r="K382" s="4">
        <v>270</v>
      </c>
    </row>
    <row r="383" spans="1:11" x14ac:dyDescent="0.3">
      <c r="A383">
        <v>21842</v>
      </c>
      <c r="B383" t="s">
        <v>1416</v>
      </c>
      <c r="C383">
        <v>6510</v>
      </c>
      <c r="D383">
        <v>330</v>
      </c>
      <c r="E383">
        <v>1037</v>
      </c>
      <c r="F383">
        <v>270</v>
      </c>
      <c r="G383">
        <v>189</v>
      </c>
      <c r="I383" s="2">
        <v>21849</v>
      </c>
      <c r="J383" t="str">
        <f>VLOOKUP(I383,ZipToCntyTbl[#All],3,0)</f>
        <v>Wicomico</v>
      </c>
      <c r="K383" s="2">
        <v>50</v>
      </c>
    </row>
    <row r="384" spans="1:11" x14ac:dyDescent="0.3">
      <c r="A384">
        <v>21849</v>
      </c>
      <c r="B384" t="s">
        <v>1416</v>
      </c>
      <c r="C384">
        <v>1530</v>
      </c>
      <c r="D384">
        <v>40</v>
      </c>
      <c r="E384">
        <v>126</v>
      </c>
      <c r="F384">
        <v>50</v>
      </c>
      <c r="G384">
        <v>35</v>
      </c>
      <c r="I384" s="4">
        <v>21850</v>
      </c>
      <c r="J384" t="str">
        <f>VLOOKUP(I384,ZipToCntyTbl[#All],3,0)</f>
        <v>Wicomico</v>
      </c>
      <c r="K384" s="4">
        <v>40</v>
      </c>
    </row>
    <row r="385" spans="1:11" x14ac:dyDescent="0.3">
      <c r="A385">
        <v>21850</v>
      </c>
      <c r="B385" t="s">
        <v>1416</v>
      </c>
      <c r="C385">
        <v>1430</v>
      </c>
      <c r="D385">
        <v>50</v>
      </c>
      <c r="E385">
        <v>173</v>
      </c>
      <c r="F385">
        <v>40</v>
      </c>
      <c r="G385">
        <v>29</v>
      </c>
      <c r="I385" s="2">
        <v>21851</v>
      </c>
      <c r="J385" t="str">
        <f>VLOOKUP(I385,ZipToCntyTbl[#All],3,0)</f>
        <v>Worcester</v>
      </c>
      <c r="K385" s="2">
        <v>70</v>
      </c>
    </row>
    <row r="386" spans="1:11" x14ac:dyDescent="0.3">
      <c r="A386">
        <v>21851</v>
      </c>
      <c r="B386" t="s">
        <v>1416</v>
      </c>
      <c r="C386">
        <v>3320</v>
      </c>
      <c r="D386">
        <v>100</v>
      </c>
      <c r="E386">
        <v>319</v>
      </c>
      <c r="F386">
        <v>70</v>
      </c>
      <c r="G386">
        <v>48</v>
      </c>
      <c r="I386" s="4">
        <v>21853</v>
      </c>
      <c r="J386" t="str">
        <f>VLOOKUP(I386,ZipToCntyTbl[#All],3,0)</f>
        <v>Somerset</v>
      </c>
      <c r="K386" s="4">
        <v>80</v>
      </c>
    </row>
    <row r="387" spans="1:11" x14ac:dyDescent="0.3">
      <c r="A387">
        <v>21853</v>
      </c>
      <c r="B387" t="s">
        <v>1416</v>
      </c>
      <c r="C387">
        <v>3730</v>
      </c>
      <c r="D387">
        <v>110</v>
      </c>
      <c r="E387">
        <v>349</v>
      </c>
      <c r="F387">
        <v>80</v>
      </c>
      <c r="G387">
        <v>50</v>
      </c>
      <c r="I387" s="2">
        <v>21856</v>
      </c>
      <c r="J387" t="str">
        <f>VLOOKUP(I387,ZipToCntyTbl[#All],3,0)</f>
        <v>Wicomico</v>
      </c>
      <c r="K387" s="2">
        <v>0</v>
      </c>
    </row>
    <row r="388" spans="1:11" x14ac:dyDescent="0.3">
      <c r="A388">
        <v>21856</v>
      </c>
      <c r="B388" t="s">
        <v>1416</v>
      </c>
      <c r="C388">
        <v>400</v>
      </c>
      <c r="D388">
        <v>0</v>
      </c>
      <c r="E388">
        <v>0</v>
      </c>
      <c r="F388">
        <v>0</v>
      </c>
      <c r="G388">
        <v>0</v>
      </c>
      <c r="I388" s="4">
        <v>21863</v>
      </c>
      <c r="J388" t="str">
        <f>VLOOKUP(I388,ZipToCntyTbl[#All],3,0)</f>
        <v>Worcester</v>
      </c>
      <c r="K388" s="4">
        <v>40</v>
      </c>
    </row>
    <row r="389" spans="1:11" x14ac:dyDescent="0.3">
      <c r="A389">
        <v>21863</v>
      </c>
      <c r="B389" t="s">
        <v>1416</v>
      </c>
      <c r="C389">
        <v>2210</v>
      </c>
      <c r="D389">
        <v>60</v>
      </c>
      <c r="E389">
        <v>164</v>
      </c>
      <c r="F389">
        <v>40</v>
      </c>
      <c r="G389">
        <v>24</v>
      </c>
      <c r="I389" s="2">
        <v>21864</v>
      </c>
      <c r="J389" t="str">
        <f>VLOOKUP(I389,ZipToCntyTbl[#All],3,0)</f>
        <v>Worcester</v>
      </c>
      <c r="K389" s="2">
        <v>0</v>
      </c>
    </row>
    <row r="390" spans="1:11" x14ac:dyDescent="0.3">
      <c r="A390">
        <v>21864</v>
      </c>
      <c r="B390" t="s">
        <v>1416</v>
      </c>
      <c r="C390">
        <v>290</v>
      </c>
      <c r="D390">
        <v>0</v>
      </c>
      <c r="E390">
        <v>0</v>
      </c>
      <c r="F390">
        <v>0</v>
      </c>
      <c r="G390">
        <v>0</v>
      </c>
      <c r="I390" s="4">
        <v>21865</v>
      </c>
      <c r="J390" t="str">
        <f>VLOOKUP(I390,ZipToCntyTbl[#All],3,0)</f>
        <v>Wicomico</v>
      </c>
      <c r="K390" s="4">
        <v>0</v>
      </c>
    </row>
    <row r="391" spans="1:11" x14ac:dyDescent="0.3">
      <c r="A391">
        <v>21865</v>
      </c>
      <c r="B391" t="s">
        <v>1416</v>
      </c>
      <c r="C391">
        <v>230</v>
      </c>
      <c r="D391">
        <v>0</v>
      </c>
      <c r="E391">
        <v>0</v>
      </c>
      <c r="F391">
        <v>0</v>
      </c>
      <c r="G391">
        <v>0</v>
      </c>
      <c r="I391" s="2">
        <v>21869</v>
      </c>
      <c r="J391" t="str">
        <f>VLOOKUP(I391,ZipToCntyTbl[#All],3,0)</f>
        <v>Dorchester</v>
      </c>
      <c r="K391" s="2">
        <v>0</v>
      </c>
    </row>
    <row r="392" spans="1:11" x14ac:dyDescent="0.3">
      <c r="A392">
        <v>21869</v>
      </c>
      <c r="B392" t="s">
        <v>1416</v>
      </c>
      <c r="C392">
        <v>440</v>
      </c>
      <c r="D392">
        <v>0</v>
      </c>
      <c r="E392">
        <v>0</v>
      </c>
      <c r="F392">
        <v>0</v>
      </c>
      <c r="G392">
        <v>0</v>
      </c>
      <c r="I392" s="4">
        <v>21871</v>
      </c>
      <c r="J392" t="str">
        <f>VLOOKUP(I392,ZipToCntyTbl[#All],3,0)</f>
        <v>Somerset</v>
      </c>
      <c r="K392" s="4">
        <v>20</v>
      </c>
    </row>
    <row r="393" spans="1:11" x14ac:dyDescent="0.3">
      <c r="A393">
        <v>21871</v>
      </c>
      <c r="B393" t="s">
        <v>1416</v>
      </c>
      <c r="C393">
        <v>820</v>
      </c>
      <c r="D393">
        <v>0</v>
      </c>
      <c r="E393">
        <v>0</v>
      </c>
      <c r="F393">
        <v>20</v>
      </c>
      <c r="G393">
        <v>15</v>
      </c>
      <c r="I393" s="2">
        <v>21872</v>
      </c>
      <c r="J393" t="str">
        <f>VLOOKUP(I393,ZipToCntyTbl[#All],3,0)</f>
        <v>Worcester</v>
      </c>
      <c r="K393" s="2">
        <v>0</v>
      </c>
    </row>
    <row r="394" spans="1:11" x14ac:dyDescent="0.3">
      <c r="A394">
        <v>21872</v>
      </c>
      <c r="B394" t="s">
        <v>1416</v>
      </c>
      <c r="C394">
        <v>370</v>
      </c>
      <c r="D394">
        <v>0</v>
      </c>
      <c r="E394">
        <v>0</v>
      </c>
      <c r="F394">
        <v>0</v>
      </c>
      <c r="G394">
        <v>0</v>
      </c>
      <c r="I394" s="4">
        <v>21874</v>
      </c>
      <c r="J394" t="str">
        <f>VLOOKUP(I394,ZipToCntyTbl[#All],3,0)</f>
        <v>Wicomico</v>
      </c>
      <c r="K394" s="4">
        <v>40</v>
      </c>
    </row>
    <row r="395" spans="1:11" x14ac:dyDescent="0.3">
      <c r="A395">
        <v>21874</v>
      </c>
      <c r="B395" t="s">
        <v>1416</v>
      </c>
      <c r="C395">
        <v>1050</v>
      </c>
      <c r="D395">
        <v>40</v>
      </c>
      <c r="E395">
        <v>130</v>
      </c>
      <c r="F395">
        <v>40</v>
      </c>
      <c r="G395">
        <v>30</v>
      </c>
      <c r="I395" s="2">
        <v>21875</v>
      </c>
      <c r="J395" t="str">
        <f>VLOOKUP(I395,ZipToCntyTbl[#All],3,0)</f>
        <v>Wicomico</v>
      </c>
      <c r="K395" s="2">
        <v>90</v>
      </c>
    </row>
    <row r="396" spans="1:11" x14ac:dyDescent="0.3">
      <c r="A396">
        <v>21875</v>
      </c>
      <c r="B396" t="s">
        <v>1416</v>
      </c>
      <c r="C396">
        <v>3100</v>
      </c>
      <c r="D396">
        <v>100</v>
      </c>
      <c r="E396">
        <v>315</v>
      </c>
      <c r="F396">
        <v>90</v>
      </c>
      <c r="G396">
        <v>65</v>
      </c>
      <c r="I396" s="4">
        <v>21901</v>
      </c>
      <c r="J396" t="str">
        <f>VLOOKUP(I396,ZipToCntyTbl[#All],3,0)</f>
        <v>Cecil</v>
      </c>
      <c r="K396" s="4">
        <v>200</v>
      </c>
    </row>
    <row r="397" spans="1:11" x14ac:dyDescent="0.3">
      <c r="A397">
        <v>21901</v>
      </c>
      <c r="B397" t="s">
        <v>1416</v>
      </c>
      <c r="C397">
        <v>8160</v>
      </c>
      <c r="D397">
        <v>170</v>
      </c>
      <c r="E397">
        <v>522</v>
      </c>
      <c r="F397">
        <v>200</v>
      </c>
      <c r="G397">
        <v>136</v>
      </c>
      <c r="I397" s="2">
        <v>21903</v>
      </c>
      <c r="J397" t="str">
        <f>VLOOKUP(I397,ZipToCntyTbl[#All],3,0)</f>
        <v>Cecil</v>
      </c>
      <c r="K397" s="2">
        <v>60</v>
      </c>
    </row>
    <row r="398" spans="1:11" x14ac:dyDescent="0.3">
      <c r="A398">
        <v>21903</v>
      </c>
      <c r="B398" t="s">
        <v>1416</v>
      </c>
      <c r="C398">
        <v>2620</v>
      </c>
      <c r="D398">
        <v>50</v>
      </c>
      <c r="E398">
        <v>158</v>
      </c>
      <c r="F398">
        <v>60</v>
      </c>
      <c r="G398">
        <v>38</v>
      </c>
      <c r="I398" s="4">
        <v>21904</v>
      </c>
      <c r="J398" t="str">
        <f>VLOOKUP(I398,ZipToCntyTbl[#All],3,0)</f>
        <v>Cecil</v>
      </c>
      <c r="K398" s="4">
        <v>80</v>
      </c>
    </row>
    <row r="399" spans="1:11" x14ac:dyDescent="0.3">
      <c r="A399">
        <v>21904</v>
      </c>
      <c r="B399" t="s">
        <v>1416</v>
      </c>
      <c r="C399">
        <v>3170</v>
      </c>
      <c r="D399">
        <v>60</v>
      </c>
      <c r="E399">
        <v>184</v>
      </c>
      <c r="F399">
        <v>80</v>
      </c>
      <c r="G399">
        <v>53</v>
      </c>
      <c r="I399" s="2">
        <v>21911</v>
      </c>
      <c r="J399" t="str">
        <f>VLOOKUP(I399,ZipToCntyTbl[#All],3,0)</f>
        <v>Cecil</v>
      </c>
      <c r="K399" s="2">
        <v>140</v>
      </c>
    </row>
    <row r="400" spans="1:11" x14ac:dyDescent="0.3">
      <c r="A400">
        <v>21911</v>
      </c>
      <c r="B400" t="s">
        <v>1416</v>
      </c>
      <c r="C400">
        <v>5110</v>
      </c>
      <c r="D400">
        <v>120</v>
      </c>
      <c r="E400">
        <v>364</v>
      </c>
      <c r="F400">
        <v>140</v>
      </c>
      <c r="G400">
        <v>105</v>
      </c>
      <c r="I400" s="4">
        <v>21912</v>
      </c>
      <c r="J400" t="str">
        <f>VLOOKUP(I400,ZipToCntyTbl[#All],3,0)</f>
        <v>Cecil</v>
      </c>
      <c r="K400" s="4">
        <v>0</v>
      </c>
    </row>
    <row r="401" spans="1:11" x14ac:dyDescent="0.3">
      <c r="A401">
        <v>21912</v>
      </c>
      <c r="B401" t="s">
        <v>1416</v>
      </c>
      <c r="C401">
        <v>520</v>
      </c>
      <c r="D401">
        <v>0</v>
      </c>
      <c r="E401">
        <v>0</v>
      </c>
      <c r="F401">
        <v>0</v>
      </c>
      <c r="G401">
        <v>0</v>
      </c>
      <c r="I401" s="2">
        <v>21915</v>
      </c>
      <c r="J401" t="str">
        <f>VLOOKUP(I401,ZipToCntyTbl[#All],3,0)</f>
        <v>Cecil</v>
      </c>
      <c r="K401" s="2">
        <v>60</v>
      </c>
    </row>
    <row r="402" spans="1:11" x14ac:dyDescent="0.3">
      <c r="A402">
        <v>21915</v>
      </c>
      <c r="B402" t="s">
        <v>1416</v>
      </c>
      <c r="C402">
        <v>1520</v>
      </c>
      <c r="D402">
        <v>40</v>
      </c>
      <c r="E402">
        <v>106</v>
      </c>
      <c r="F402">
        <v>60</v>
      </c>
      <c r="G402">
        <v>41</v>
      </c>
      <c r="I402" s="4">
        <v>21917</v>
      </c>
      <c r="J402" t="str">
        <f>VLOOKUP(I402,ZipToCntyTbl[#All],3,0)</f>
        <v>Cecil</v>
      </c>
      <c r="K402" s="4">
        <v>0</v>
      </c>
    </row>
    <row r="403" spans="1:11" x14ac:dyDescent="0.3">
      <c r="A403">
        <v>21917</v>
      </c>
      <c r="B403" t="s">
        <v>1416</v>
      </c>
      <c r="C403">
        <v>1140</v>
      </c>
      <c r="D403">
        <v>30</v>
      </c>
      <c r="E403">
        <v>109</v>
      </c>
      <c r="F403">
        <v>0</v>
      </c>
      <c r="G403">
        <v>0</v>
      </c>
      <c r="I403" s="2">
        <v>21918</v>
      </c>
      <c r="J403" t="str">
        <f>VLOOKUP(I403,ZipToCntyTbl[#All],3,0)</f>
        <v>Cecil</v>
      </c>
      <c r="K403" s="2">
        <v>50</v>
      </c>
    </row>
    <row r="404" spans="1:11" x14ac:dyDescent="0.3">
      <c r="A404">
        <v>21918</v>
      </c>
      <c r="B404" t="s">
        <v>1416</v>
      </c>
      <c r="C404">
        <v>1960</v>
      </c>
      <c r="D404">
        <v>50</v>
      </c>
      <c r="E404">
        <v>155</v>
      </c>
      <c r="F404">
        <v>50</v>
      </c>
      <c r="G404">
        <v>27</v>
      </c>
      <c r="I404" s="4">
        <v>21919</v>
      </c>
      <c r="J404" t="str">
        <f>VLOOKUP(I404,ZipToCntyTbl[#All],3,0)</f>
        <v>Cecil</v>
      </c>
      <c r="K404" s="4">
        <v>30</v>
      </c>
    </row>
    <row r="405" spans="1:11" x14ac:dyDescent="0.3">
      <c r="A405">
        <v>21919</v>
      </c>
      <c r="B405" t="s">
        <v>1416</v>
      </c>
      <c r="C405">
        <v>1420</v>
      </c>
      <c r="D405">
        <v>40</v>
      </c>
      <c r="E405">
        <v>115</v>
      </c>
      <c r="F405">
        <v>30</v>
      </c>
      <c r="G405">
        <v>20</v>
      </c>
      <c r="I405" s="2">
        <v>21921</v>
      </c>
      <c r="J405" t="str">
        <f>VLOOKUP(I405,ZipToCntyTbl[#All],3,0)</f>
        <v>Cecil</v>
      </c>
      <c r="K405" s="2">
        <v>470</v>
      </c>
    </row>
    <row r="406" spans="1:11" x14ac:dyDescent="0.3">
      <c r="A406">
        <v>21921</v>
      </c>
      <c r="B406" t="s">
        <v>1416</v>
      </c>
      <c r="C406">
        <v>19290</v>
      </c>
      <c r="D406">
        <v>440</v>
      </c>
      <c r="E406">
        <v>1398</v>
      </c>
      <c r="F406">
        <v>470</v>
      </c>
      <c r="G406">
        <v>332</v>
      </c>
    </row>
    <row r="407" spans="1:11" x14ac:dyDescent="0.3">
      <c r="A407">
        <v>99999</v>
      </c>
      <c r="B407" t="s">
        <v>1416</v>
      </c>
      <c r="C407">
        <v>21430</v>
      </c>
      <c r="D407">
        <v>210</v>
      </c>
      <c r="E407">
        <v>413</v>
      </c>
      <c r="F407">
        <v>220</v>
      </c>
      <c r="G407">
        <v>107</v>
      </c>
    </row>
  </sheetData>
  <pageMargins left="0.7" right="0.7" top="0.75" bottom="0.75" header="0.3" footer="0.3"/>
  <tableParts count="3">
    <tablePart r:id="rId1"/>
    <tablePart r:id="rId2"/>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H470"/>
  <sheetViews>
    <sheetView topLeftCell="A432" workbookViewId="0">
      <selection activeCell="C470" sqref="C470"/>
    </sheetView>
  </sheetViews>
  <sheetFormatPr defaultRowHeight="14.4" x14ac:dyDescent="0.3"/>
  <cols>
    <col min="1" max="1" width="10.33203125" customWidth="1"/>
    <col min="2" max="2" width="9" customWidth="1"/>
    <col min="3" max="3" width="57.109375" customWidth="1"/>
    <col min="6" max="6" width="9" customWidth="1"/>
    <col min="7" max="7" width="11.5546875" customWidth="1"/>
  </cols>
  <sheetData>
    <row r="1" spans="1:8" x14ac:dyDescent="0.3">
      <c r="A1" t="s">
        <v>1406</v>
      </c>
      <c r="B1" t="s">
        <v>987</v>
      </c>
      <c r="C1" t="s">
        <v>1407</v>
      </c>
      <c r="D1" t="s">
        <v>1408</v>
      </c>
      <c r="F1" t="s">
        <v>987</v>
      </c>
      <c r="G1" t="s">
        <v>1409</v>
      </c>
      <c r="H1" t="s">
        <v>1408</v>
      </c>
    </row>
    <row r="2" spans="1:8" x14ac:dyDescent="0.3">
      <c r="A2">
        <v>20601</v>
      </c>
      <c r="B2" t="s">
        <v>1070</v>
      </c>
      <c r="C2">
        <v>331</v>
      </c>
      <c r="D2">
        <v>2.1146241271585457E-3</v>
      </c>
      <c r="F2" t="s">
        <v>1032</v>
      </c>
      <c r="G2">
        <v>136</v>
      </c>
      <c r="H2">
        <v>7.794082885599473E-4</v>
      </c>
    </row>
    <row r="3" spans="1:8" x14ac:dyDescent="0.3">
      <c r="A3">
        <v>20602</v>
      </c>
      <c r="B3" t="s">
        <v>1070</v>
      </c>
      <c r="C3">
        <v>92</v>
      </c>
      <c r="D3">
        <v>5.8775051268455047E-4</v>
      </c>
      <c r="F3" t="s">
        <v>996</v>
      </c>
      <c r="G3">
        <v>11497</v>
      </c>
      <c r="H3">
        <v>4.9166608104568472E-2</v>
      </c>
    </row>
    <row r="4" spans="1:8" x14ac:dyDescent="0.3">
      <c r="A4">
        <v>20603</v>
      </c>
      <c r="B4" t="s">
        <v>1070</v>
      </c>
      <c r="C4">
        <v>237</v>
      </c>
      <c r="D4">
        <v>1.5140964294156354E-3</v>
      </c>
      <c r="F4" t="s">
        <v>992</v>
      </c>
      <c r="G4">
        <v>13622</v>
      </c>
      <c r="H4">
        <v>9.409757936229067E-2</v>
      </c>
    </row>
    <row r="5" spans="1:8" x14ac:dyDescent="0.3">
      <c r="A5">
        <v>20606</v>
      </c>
      <c r="B5" t="s">
        <v>1053</v>
      </c>
      <c r="C5">
        <v>0</v>
      </c>
      <c r="D5">
        <v>0</v>
      </c>
      <c r="F5" t="s">
        <v>993</v>
      </c>
      <c r="G5">
        <v>11876</v>
      </c>
      <c r="H5">
        <v>7.2491359428604296E-2</v>
      </c>
    </row>
    <row r="6" spans="1:8" x14ac:dyDescent="0.3">
      <c r="A6">
        <v>20607</v>
      </c>
      <c r="B6" t="s">
        <v>989</v>
      </c>
      <c r="C6">
        <v>125</v>
      </c>
      <c r="D6">
        <v>7.9857406614748704E-4</v>
      </c>
      <c r="F6" t="s">
        <v>1055</v>
      </c>
      <c r="G6">
        <v>2902</v>
      </c>
      <c r="H6">
        <v>1.0924493224897622E-3</v>
      </c>
    </row>
    <row r="7" spans="1:8" x14ac:dyDescent="0.3">
      <c r="A7">
        <v>20608</v>
      </c>
      <c r="B7" t="s">
        <v>989</v>
      </c>
      <c r="C7">
        <v>0</v>
      </c>
      <c r="D7">
        <v>0</v>
      </c>
      <c r="F7" t="s">
        <v>1095</v>
      </c>
      <c r="G7">
        <v>88</v>
      </c>
      <c r="H7">
        <v>3.6989950743951602E-3</v>
      </c>
    </row>
    <row r="8" spans="1:8" x14ac:dyDescent="0.3">
      <c r="A8">
        <v>20609</v>
      </c>
      <c r="B8" t="s">
        <v>1053</v>
      </c>
      <c r="C8">
        <v>1</v>
      </c>
      <c r="D8">
        <v>6.3885925291798967E-6</v>
      </c>
      <c r="F8" t="s">
        <v>1041</v>
      </c>
      <c r="G8">
        <v>640</v>
      </c>
      <c r="H8">
        <v>4.1014764037334934E-3</v>
      </c>
    </row>
    <row r="9" spans="1:8" x14ac:dyDescent="0.3">
      <c r="A9">
        <v>20611</v>
      </c>
      <c r="B9" t="s">
        <v>1070</v>
      </c>
      <c r="C9">
        <v>0</v>
      </c>
      <c r="D9">
        <v>0</v>
      </c>
      <c r="F9" t="s">
        <v>1017</v>
      </c>
      <c r="G9">
        <v>588</v>
      </c>
      <c r="H9">
        <v>3.756492407157779E-3</v>
      </c>
    </row>
    <row r="10" spans="1:8" x14ac:dyDescent="0.3">
      <c r="A10">
        <v>20612</v>
      </c>
      <c r="B10" t="s">
        <v>1070</v>
      </c>
      <c r="C10">
        <v>0</v>
      </c>
      <c r="D10">
        <v>0</v>
      </c>
      <c r="F10" t="s">
        <v>1070</v>
      </c>
      <c r="G10">
        <v>603</v>
      </c>
      <c r="H10">
        <v>5.1428169859898173E-3</v>
      </c>
    </row>
    <row r="11" spans="1:8" x14ac:dyDescent="0.3">
      <c r="A11">
        <v>20613</v>
      </c>
      <c r="B11" t="s">
        <v>989</v>
      </c>
      <c r="C11">
        <v>114</v>
      </c>
      <c r="D11">
        <v>7.2829954832650818E-4</v>
      </c>
      <c r="F11" t="s">
        <v>1097</v>
      </c>
      <c r="G11">
        <v>307</v>
      </c>
      <c r="H11">
        <v>1.9038005736956092E-3</v>
      </c>
    </row>
    <row r="12" spans="1:8" x14ac:dyDescent="0.3">
      <c r="A12">
        <v>20615</v>
      </c>
      <c r="B12" t="s">
        <v>1055</v>
      </c>
      <c r="C12">
        <v>0</v>
      </c>
      <c r="D12">
        <v>0</v>
      </c>
      <c r="F12" t="s">
        <v>1027</v>
      </c>
      <c r="G12">
        <v>3439</v>
      </c>
      <c r="H12">
        <v>2.3580295025203004E-2</v>
      </c>
    </row>
    <row r="13" spans="1:8" x14ac:dyDescent="0.3">
      <c r="A13">
        <v>20616</v>
      </c>
      <c r="B13" t="s">
        <v>1070</v>
      </c>
      <c r="C13">
        <v>51</v>
      </c>
      <c r="D13">
        <v>3.2581821898817472E-4</v>
      </c>
      <c r="F13" t="s">
        <v>1064</v>
      </c>
      <c r="G13">
        <v>122</v>
      </c>
      <c r="H13">
        <v>6.3885925291798967E-5</v>
      </c>
    </row>
    <row r="14" spans="1:8" x14ac:dyDescent="0.3">
      <c r="A14">
        <v>20617</v>
      </c>
      <c r="B14" t="s">
        <v>1070</v>
      </c>
      <c r="C14">
        <v>0</v>
      </c>
      <c r="D14">
        <v>0</v>
      </c>
      <c r="F14" t="s">
        <v>1045</v>
      </c>
      <c r="G14">
        <v>4362</v>
      </c>
      <c r="H14">
        <v>8.1837870298794475E-3</v>
      </c>
    </row>
    <row r="15" spans="1:8" x14ac:dyDescent="0.3">
      <c r="A15">
        <v>20618</v>
      </c>
      <c r="B15" t="s">
        <v>1053</v>
      </c>
      <c r="C15">
        <v>0</v>
      </c>
      <c r="D15">
        <v>0</v>
      </c>
      <c r="F15" t="s">
        <v>1038</v>
      </c>
      <c r="G15">
        <v>5845</v>
      </c>
      <c r="H15">
        <v>3.5776118163407422E-2</v>
      </c>
    </row>
    <row r="16" spans="1:8" x14ac:dyDescent="0.3">
      <c r="A16">
        <v>20619</v>
      </c>
      <c r="B16" t="s">
        <v>1053</v>
      </c>
      <c r="C16">
        <v>0</v>
      </c>
      <c r="D16">
        <v>0</v>
      </c>
      <c r="F16" t="s">
        <v>1131</v>
      </c>
      <c r="G16">
        <v>655</v>
      </c>
      <c r="H16">
        <v>1.7376971679369318E-3</v>
      </c>
    </row>
    <row r="17" spans="1:8" x14ac:dyDescent="0.3">
      <c r="A17">
        <v>20620</v>
      </c>
      <c r="B17" t="s">
        <v>1053</v>
      </c>
      <c r="C17">
        <v>47</v>
      </c>
      <c r="D17">
        <v>3.0026384887145511E-4</v>
      </c>
      <c r="F17" t="s">
        <v>991</v>
      </c>
      <c r="G17">
        <v>48011</v>
      </c>
      <c r="H17">
        <v>0.32195312050802083</v>
      </c>
    </row>
    <row r="18" spans="1:8" x14ac:dyDescent="0.3">
      <c r="A18">
        <v>20621</v>
      </c>
      <c r="B18" t="s">
        <v>1053</v>
      </c>
      <c r="C18">
        <v>0</v>
      </c>
      <c r="D18">
        <v>0</v>
      </c>
      <c r="F18" t="s">
        <v>989</v>
      </c>
      <c r="G18">
        <v>46530</v>
      </c>
      <c r="H18">
        <v>0.33801404212637914</v>
      </c>
    </row>
    <row r="19" spans="1:8" x14ac:dyDescent="0.3">
      <c r="A19">
        <v>20622</v>
      </c>
      <c r="B19" t="s">
        <v>1053</v>
      </c>
      <c r="C19">
        <v>0</v>
      </c>
      <c r="D19">
        <v>0</v>
      </c>
      <c r="F19" t="s">
        <v>1141</v>
      </c>
      <c r="G19">
        <v>754</v>
      </c>
      <c r="H19">
        <v>2.7023746398430965E-3</v>
      </c>
    </row>
    <row r="20" spans="1:8" x14ac:dyDescent="0.3">
      <c r="A20">
        <v>20623</v>
      </c>
      <c r="B20" t="s">
        <v>989</v>
      </c>
      <c r="C20">
        <v>49</v>
      </c>
      <c r="D20">
        <v>3.1304103392981492E-4</v>
      </c>
      <c r="F20" t="s">
        <v>1053</v>
      </c>
      <c r="G20">
        <v>558</v>
      </c>
      <c r="H20">
        <v>4.7403356566514832E-3</v>
      </c>
    </row>
    <row r="21" spans="1:8" x14ac:dyDescent="0.3">
      <c r="A21">
        <v>20624</v>
      </c>
      <c r="B21" t="s">
        <v>1053</v>
      </c>
      <c r="C21">
        <v>0</v>
      </c>
      <c r="D21">
        <v>0</v>
      </c>
      <c r="F21" t="s">
        <v>1108</v>
      </c>
      <c r="G21">
        <v>517</v>
      </c>
      <c r="H21">
        <v>9.7106606443534424E-4</v>
      </c>
    </row>
    <row r="22" spans="1:8" x14ac:dyDescent="0.3">
      <c r="A22">
        <v>20625</v>
      </c>
      <c r="B22" t="s">
        <v>1070</v>
      </c>
      <c r="C22">
        <v>0</v>
      </c>
      <c r="D22">
        <v>0</v>
      </c>
      <c r="F22" t="s">
        <v>1057</v>
      </c>
      <c r="G22">
        <v>327</v>
      </c>
      <c r="H22">
        <v>3.475394335873864E-3</v>
      </c>
    </row>
    <row r="23" spans="1:8" x14ac:dyDescent="0.3">
      <c r="A23">
        <v>20626</v>
      </c>
      <c r="B23" t="s">
        <v>1053</v>
      </c>
      <c r="C23">
        <v>0</v>
      </c>
      <c r="D23">
        <v>0</v>
      </c>
      <c r="F23" t="s">
        <v>999</v>
      </c>
      <c r="G23">
        <v>854</v>
      </c>
      <c r="H23">
        <v>5.4750237975071721E-3</v>
      </c>
    </row>
    <row r="24" spans="1:8" x14ac:dyDescent="0.3">
      <c r="A24">
        <v>20628</v>
      </c>
      <c r="B24" t="s">
        <v>1053</v>
      </c>
      <c r="C24">
        <v>0</v>
      </c>
      <c r="D24">
        <v>0</v>
      </c>
      <c r="F24" t="s">
        <v>1021</v>
      </c>
      <c r="G24">
        <v>2030</v>
      </c>
      <c r="H24">
        <v>1.47768145199931E-2</v>
      </c>
    </row>
    <row r="25" spans="1:8" x14ac:dyDescent="0.3">
      <c r="A25">
        <v>20629</v>
      </c>
      <c r="B25" t="s">
        <v>1055</v>
      </c>
      <c r="C25">
        <v>0</v>
      </c>
      <c r="D25">
        <v>0</v>
      </c>
      <c r="F25" t="s">
        <v>1062</v>
      </c>
      <c r="G25">
        <v>266</v>
      </c>
      <c r="H25">
        <v>2.3190590880923022E-3</v>
      </c>
    </row>
    <row r="26" spans="1:8" x14ac:dyDescent="0.3">
      <c r="A26">
        <v>20630</v>
      </c>
      <c r="B26" t="s">
        <v>1053</v>
      </c>
      <c r="C26">
        <v>0</v>
      </c>
      <c r="D26">
        <v>0</v>
      </c>
    </row>
    <row r="27" spans="1:8" x14ac:dyDescent="0.3">
      <c r="A27">
        <v>20632</v>
      </c>
      <c r="B27" t="s">
        <v>1070</v>
      </c>
      <c r="C27">
        <v>0</v>
      </c>
      <c r="D27">
        <v>0</v>
      </c>
    </row>
    <row r="28" spans="1:8" x14ac:dyDescent="0.3">
      <c r="A28">
        <v>20634</v>
      </c>
      <c r="B28" t="s">
        <v>1053</v>
      </c>
      <c r="C28">
        <v>0</v>
      </c>
      <c r="D28">
        <v>0</v>
      </c>
    </row>
    <row r="29" spans="1:8" x14ac:dyDescent="0.3">
      <c r="A29">
        <v>20636</v>
      </c>
      <c r="B29" t="s">
        <v>1053</v>
      </c>
      <c r="C29">
        <v>0</v>
      </c>
      <c r="D29">
        <v>0</v>
      </c>
    </row>
    <row r="30" spans="1:8" x14ac:dyDescent="0.3">
      <c r="A30">
        <v>20637</v>
      </c>
      <c r="B30" t="s">
        <v>1070</v>
      </c>
      <c r="C30">
        <v>0</v>
      </c>
      <c r="D30">
        <v>0</v>
      </c>
    </row>
    <row r="31" spans="1:8" x14ac:dyDescent="0.3">
      <c r="A31">
        <v>20639</v>
      </c>
      <c r="B31" t="s">
        <v>1055</v>
      </c>
      <c r="C31">
        <v>4</v>
      </c>
      <c r="D31">
        <v>2.5554370116719587E-5</v>
      </c>
    </row>
    <row r="32" spans="1:8" x14ac:dyDescent="0.3">
      <c r="A32">
        <v>20640</v>
      </c>
      <c r="B32" t="s">
        <v>1070</v>
      </c>
      <c r="C32">
        <v>22</v>
      </c>
      <c r="D32">
        <v>1.4054903564195771E-4</v>
      </c>
    </row>
    <row r="33" spans="1:4" x14ac:dyDescent="0.3">
      <c r="A33">
        <v>20645</v>
      </c>
      <c r="B33" t="s">
        <v>1070</v>
      </c>
      <c r="C33">
        <v>0</v>
      </c>
      <c r="D33">
        <v>0</v>
      </c>
    </row>
    <row r="34" spans="1:4" x14ac:dyDescent="0.3">
      <c r="A34">
        <v>20646</v>
      </c>
      <c r="B34" t="s">
        <v>1070</v>
      </c>
      <c r="C34">
        <v>47</v>
      </c>
      <c r="D34">
        <v>3.0026384887145511E-4</v>
      </c>
    </row>
    <row r="35" spans="1:4" x14ac:dyDescent="0.3">
      <c r="A35">
        <v>20650</v>
      </c>
      <c r="B35" t="s">
        <v>1053</v>
      </c>
      <c r="C35">
        <v>35</v>
      </c>
      <c r="D35">
        <v>2.2360073852129638E-4</v>
      </c>
    </row>
    <row r="36" spans="1:4" x14ac:dyDescent="0.3">
      <c r="A36">
        <v>20653</v>
      </c>
      <c r="B36" t="s">
        <v>1053</v>
      </c>
      <c r="C36">
        <v>593</v>
      </c>
      <c r="D36">
        <v>3.7884353698036787E-3</v>
      </c>
    </row>
    <row r="37" spans="1:4" x14ac:dyDescent="0.3">
      <c r="A37">
        <v>20657</v>
      </c>
      <c r="B37" t="s">
        <v>1055</v>
      </c>
      <c r="C37">
        <v>102</v>
      </c>
      <c r="D37">
        <v>6.5163643797634945E-4</v>
      </c>
    </row>
    <row r="38" spans="1:4" x14ac:dyDescent="0.3">
      <c r="A38">
        <v>20658</v>
      </c>
      <c r="B38" t="s">
        <v>1070</v>
      </c>
      <c r="C38">
        <v>0</v>
      </c>
      <c r="D38">
        <v>0</v>
      </c>
    </row>
    <row r="39" spans="1:4" x14ac:dyDescent="0.3">
      <c r="A39">
        <v>20659</v>
      </c>
      <c r="B39" t="s">
        <v>1053</v>
      </c>
      <c r="C39">
        <v>65</v>
      </c>
      <c r="D39">
        <v>4.1525851439669326E-4</v>
      </c>
    </row>
    <row r="40" spans="1:4" x14ac:dyDescent="0.3">
      <c r="A40">
        <v>20660</v>
      </c>
      <c r="B40" t="s">
        <v>1053</v>
      </c>
      <c r="C40">
        <v>0</v>
      </c>
      <c r="D40">
        <v>0</v>
      </c>
    </row>
    <row r="41" spans="1:4" x14ac:dyDescent="0.3">
      <c r="A41">
        <v>20662</v>
      </c>
      <c r="B41" t="s">
        <v>1070</v>
      </c>
      <c r="C41">
        <v>0</v>
      </c>
      <c r="D41">
        <v>0</v>
      </c>
    </row>
    <row r="42" spans="1:4" x14ac:dyDescent="0.3">
      <c r="A42">
        <v>20664</v>
      </c>
      <c r="B42" t="s">
        <v>1070</v>
      </c>
      <c r="C42">
        <v>12</v>
      </c>
      <c r="D42">
        <v>7.666311035015876E-5</v>
      </c>
    </row>
    <row r="43" spans="1:4" x14ac:dyDescent="0.3">
      <c r="A43">
        <v>20667</v>
      </c>
      <c r="B43" t="s">
        <v>1053</v>
      </c>
      <c r="C43">
        <v>0</v>
      </c>
      <c r="D43">
        <v>0</v>
      </c>
    </row>
    <row r="44" spans="1:4" x14ac:dyDescent="0.3">
      <c r="A44">
        <v>20670</v>
      </c>
      <c r="B44" t="s">
        <v>1053</v>
      </c>
      <c r="C44">
        <v>0</v>
      </c>
      <c r="D44">
        <v>0</v>
      </c>
    </row>
    <row r="45" spans="1:4" x14ac:dyDescent="0.3">
      <c r="A45">
        <v>20674</v>
      </c>
      <c r="B45" t="s">
        <v>1053</v>
      </c>
      <c r="C45">
        <v>0</v>
      </c>
      <c r="D45">
        <v>0</v>
      </c>
    </row>
    <row r="46" spans="1:4" x14ac:dyDescent="0.3">
      <c r="A46">
        <v>20675</v>
      </c>
      <c r="B46" t="s">
        <v>1070</v>
      </c>
      <c r="C46">
        <v>0</v>
      </c>
      <c r="D46">
        <v>0</v>
      </c>
    </row>
    <row r="47" spans="1:4" x14ac:dyDescent="0.3">
      <c r="A47">
        <v>20676</v>
      </c>
      <c r="B47" t="s">
        <v>1055</v>
      </c>
      <c r="C47">
        <v>0</v>
      </c>
      <c r="D47">
        <v>0</v>
      </c>
    </row>
    <row r="48" spans="1:4" x14ac:dyDescent="0.3">
      <c r="A48">
        <v>20677</v>
      </c>
      <c r="B48" t="s">
        <v>1070</v>
      </c>
      <c r="C48">
        <v>0</v>
      </c>
      <c r="D48">
        <v>0</v>
      </c>
    </row>
    <row r="49" spans="1:4" x14ac:dyDescent="0.3">
      <c r="A49">
        <v>20678</v>
      </c>
      <c r="B49" t="s">
        <v>1055</v>
      </c>
      <c r="C49">
        <v>53</v>
      </c>
      <c r="D49">
        <v>3.3859540404653453E-4</v>
      </c>
    </row>
    <row r="50" spans="1:4" x14ac:dyDescent="0.3">
      <c r="A50">
        <v>20680</v>
      </c>
      <c r="B50" t="s">
        <v>1053</v>
      </c>
      <c r="C50">
        <v>1</v>
      </c>
      <c r="D50">
        <v>6.3885925291798967E-6</v>
      </c>
    </row>
    <row r="51" spans="1:4" x14ac:dyDescent="0.3">
      <c r="A51">
        <v>20684</v>
      </c>
      <c r="B51" t="s">
        <v>1053</v>
      </c>
      <c r="C51">
        <v>0</v>
      </c>
      <c r="D51">
        <v>0</v>
      </c>
    </row>
    <row r="52" spans="1:4" x14ac:dyDescent="0.3">
      <c r="A52">
        <v>20685</v>
      </c>
      <c r="B52" t="s">
        <v>1055</v>
      </c>
      <c r="C52">
        <v>12</v>
      </c>
      <c r="D52">
        <v>7.666311035015876E-5</v>
      </c>
    </row>
    <row r="53" spans="1:4" x14ac:dyDescent="0.3">
      <c r="A53">
        <v>20686</v>
      </c>
      <c r="B53" t="s">
        <v>1053</v>
      </c>
      <c r="C53">
        <v>0</v>
      </c>
      <c r="D53">
        <v>0</v>
      </c>
    </row>
    <row r="54" spans="1:4" x14ac:dyDescent="0.3">
      <c r="A54">
        <v>20687</v>
      </c>
      <c r="B54" t="s">
        <v>1053</v>
      </c>
      <c r="C54">
        <v>0</v>
      </c>
      <c r="D54">
        <v>0</v>
      </c>
    </row>
    <row r="55" spans="1:4" x14ac:dyDescent="0.3">
      <c r="A55">
        <v>20688</v>
      </c>
      <c r="B55" t="s">
        <v>1055</v>
      </c>
      <c r="C55">
        <v>0</v>
      </c>
      <c r="D55">
        <v>0</v>
      </c>
    </row>
    <row r="56" spans="1:4" x14ac:dyDescent="0.3">
      <c r="A56">
        <v>20689</v>
      </c>
      <c r="B56" t="s">
        <v>1055</v>
      </c>
      <c r="C56">
        <v>0</v>
      </c>
      <c r="D56">
        <v>0</v>
      </c>
    </row>
    <row r="57" spans="1:4" x14ac:dyDescent="0.3">
      <c r="A57">
        <v>20690</v>
      </c>
      <c r="B57" t="s">
        <v>1053</v>
      </c>
      <c r="C57">
        <v>0</v>
      </c>
      <c r="D57">
        <v>0</v>
      </c>
    </row>
    <row r="58" spans="1:4" x14ac:dyDescent="0.3">
      <c r="A58">
        <v>20692</v>
      </c>
      <c r="B58" t="s">
        <v>1053</v>
      </c>
      <c r="C58">
        <v>0</v>
      </c>
      <c r="D58">
        <v>0</v>
      </c>
    </row>
    <row r="59" spans="1:4" x14ac:dyDescent="0.3">
      <c r="A59">
        <v>20693</v>
      </c>
      <c r="B59" t="s">
        <v>1070</v>
      </c>
      <c r="C59">
        <v>0</v>
      </c>
      <c r="D59">
        <v>0</v>
      </c>
    </row>
    <row r="60" spans="1:4" x14ac:dyDescent="0.3">
      <c r="A60">
        <v>20695</v>
      </c>
      <c r="B60" t="s">
        <v>1070</v>
      </c>
      <c r="C60">
        <v>13</v>
      </c>
      <c r="D60">
        <v>8.305170287933865E-5</v>
      </c>
    </row>
    <row r="61" spans="1:4" x14ac:dyDescent="0.3">
      <c r="A61">
        <v>20701</v>
      </c>
      <c r="B61" t="s">
        <v>1038</v>
      </c>
      <c r="C61">
        <v>0</v>
      </c>
      <c r="D61">
        <v>0</v>
      </c>
    </row>
    <row r="62" spans="1:4" x14ac:dyDescent="0.3">
      <c r="A62">
        <v>20705</v>
      </c>
      <c r="B62" t="s">
        <v>989</v>
      </c>
      <c r="C62">
        <v>1486</v>
      </c>
      <c r="D62">
        <v>9.493448498361326E-3</v>
      </c>
    </row>
    <row r="63" spans="1:4" x14ac:dyDescent="0.3">
      <c r="A63">
        <v>20706</v>
      </c>
      <c r="B63" t="s">
        <v>989</v>
      </c>
      <c r="C63">
        <v>2867</v>
      </c>
      <c r="D63">
        <v>1.8316094781158764E-2</v>
      </c>
    </row>
    <row r="64" spans="1:4" x14ac:dyDescent="0.3">
      <c r="A64">
        <v>20707</v>
      </c>
      <c r="B64" t="s">
        <v>989</v>
      </c>
      <c r="C64">
        <v>1543</v>
      </c>
      <c r="D64">
        <v>9.8575982725245797E-3</v>
      </c>
    </row>
    <row r="65" spans="1:4" x14ac:dyDescent="0.3">
      <c r="A65">
        <v>20708</v>
      </c>
      <c r="B65" t="s">
        <v>989</v>
      </c>
      <c r="C65">
        <v>1312</v>
      </c>
      <c r="D65">
        <v>8.3818333982840238E-3</v>
      </c>
    </row>
    <row r="66" spans="1:4" x14ac:dyDescent="0.3">
      <c r="A66">
        <v>20710</v>
      </c>
      <c r="B66" t="s">
        <v>989</v>
      </c>
      <c r="C66">
        <v>1102</v>
      </c>
      <c r="D66">
        <v>7.0402289671562457E-3</v>
      </c>
    </row>
    <row r="67" spans="1:4" x14ac:dyDescent="0.3">
      <c r="A67">
        <v>20711</v>
      </c>
      <c r="B67" t="s">
        <v>996</v>
      </c>
      <c r="C67">
        <v>44</v>
      </c>
      <c r="D67">
        <v>2.8109807128391543E-4</v>
      </c>
    </row>
    <row r="68" spans="1:4" x14ac:dyDescent="0.3">
      <c r="A68">
        <v>20712</v>
      </c>
      <c r="B68" t="s">
        <v>989</v>
      </c>
      <c r="C68">
        <v>1268</v>
      </c>
      <c r="D68">
        <v>8.1007353270001088E-3</v>
      </c>
    </row>
    <row r="69" spans="1:4" x14ac:dyDescent="0.3">
      <c r="A69">
        <v>20714</v>
      </c>
      <c r="B69" t="s">
        <v>1055</v>
      </c>
      <c r="C69">
        <v>0</v>
      </c>
      <c r="D69">
        <v>0</v>
      </c>
    </row>
    <row r="70" spans="1:4" x14ac:dyDescent="0.3">
      <c r="A70">
        <v>20715</v>
      </c>
      <c r="B70" t="s">
        <v>989</v>
      </c>
      <c r="C70">
        <v>278</v>
      </c>
      <c r="D70">
        <v>1.7760287231120113E-3</v>
      </c>
    </row>
    <row r="71" spans="1:4" x14ac:dyDescent="0.3">
      <c r="A71">
        <v>20716</v>
      </c>
      <c r="B71" t="s">
        <v>989</v>
      </c>
      <c r="C71">
        <v>422</v>
      </c>
      <c r="D71">
        <v>2.6959860473139163E-3</v>
      </c>
    </row>
    <row r="72" spans="1:4" x14ac:dyDescent="0.3">
      <c r="A72">
        <v>20720</v>
      </c>
      <c r="B72" t="s">
        <v>989</v>
      </c>
      <c r="C72">
        <v>236</v>
      </c>
      <c r="D72">
        <v>1.5077078368864556E-3</v>
      </c>
    </row>
    <row r="73" spans="1:4" x14ac:dyDescent="0.3">
      <c r="A73">
        <v>20721</v>
      </c>
      <c r="B73" t="s">
        <v>989</v>
      </c>
      <c r="C73">
        <v>281</v>
      </c>
      <c r="D73">
        <v>1.7951945006995508E-3</v>
      </c>
    </row>
    <row r="74" spans="1:4" x14ac:dyDescent="0.3">
      <c r="A74">
        <v>20722</v>
      </c>
      <c r="B74" t="s">
        <v>989</v>
      </c>
      <c r="C74">
        <v>715</v>
      </c>
      <c r="D74">
        <v>4.567843658363626E-3</v>
      </c>
    </row>
    <row r="75" spans="1:4" x14ac:dyDescent="0.3">
      <c r="A75">
        <v>20723</v>
      </c>
      <c r="B75" t="s">
        <v>1038</v>
      </c>
      <c r="C75">
        <v>947</v>
      </c>
      <c r="D75">
        <v>6.0499971251333617E-3</v>
      </c>
    </row>
    <row r="76" spans="1:4" x14ac:dyDescent="0.3">
      <c r="A76">
        <v>20724</v>
      </c>
      <c r="B76" t="s">
        <v>996</v>
      </c>
      <c r="C76">
        <v>657</v>
      </c>
      <c r="D76">
        <v>4.1973052916711917E-3</v>
      </c>
    </row>
    <row r="77" spans="1:4" x14ac:dyDescent="0.3">
      <c r="A77">
        <v>20732</v>
      </c>
      <c r="B77" t="s">
        <v>1055</v>
      </c>
      <c r="C77">
        <v>0</v>
      </c>
      <c r="D77">
        <v>0</v>
      </c>
    </row>
    <row r="78" spans="1:4" x14ac:dyDescent="0.3">
      <c r="A78">
        <v>20733</v>
      </c>
      <c r="B78" t="s">
        <v>996</v>
      </c>
      <c r="C78">
        <v>0</v>
      </c>
      <c r="D78">
        <v>0</v>
      </c>
    </row>
    <row r="79" spans="1:4" x14ac:dyDescent="0.3">
      <c r="A79">
        <v>20735</v>
      </c>
      <c r="B79" t="s">
        <v>989</v>
      </c>
      <c r="C79">
        <v>270</v>
      </c>
      <c r="D79">
        <v>1.724919982878572E-3</v>
      </c>
    </row>
    <row r="80" spans="1:4" x14ac:dyDescent="0.3">
      <c r="A80">
        <v>20736</v>
      </c>
      <c r="B80" t="s">
        <v>1055</v>
      </c>
      <c r="C80">
        <v>0</v>
      </c>
      <c r="D80">
        <v>0</v>
      </c>
    </row>
    <row r="81" spans="1:4" x14ac:dyDescent="0.3">
      <c r="A81">
        <v>20737</v>
      </c>
      <c r="B81" t="s">
        <v>989</v>
      </c>
      <c r="C81">
        <v>4345</v>
      </c>
      <c r="D81">
        <v>2.7758434539286649E-2</v>
      </c>
    </row>
    <row r="82" spans="1:4" x14ac:dyDescent="0.3">
      <c r="A82">
        <v>20740</v>
      </c>
      <c r="B82" t="s">
        <v>989</v>
      </c>
      <c r="C82">
        <v>1443</v>
      </c>
      <c r="D82">
        <v>9.2187390196065908E-3</v>
      </c>
    </row>
    <row r="83" spans="1:4" x14ac:dyDescent="0.3">
      <c r="A83">
        <v>20742</v>
      </c>
      <c r="B83" t="s">
        <v>989</v>
      </c>
      <c r="C83">
        <v>5</v>
      </c>
      <c r="D83">
        <v>3.1942962645899483E-5</v>
      </c>
    </row>
    <row r="84" spans="1:4" x14ac:dyDescent="0.3">
      <c r="A84">
        <v>20743</v>
      </c>
      <c r="B84" t="s">
        <v>989</v>
      </c>
      <c r="C84">
        <v>1184</v>
      </c>
      <c r="D84">
        <v>7.564093554548997E-3</v>
      </c>
    </row>
    <row r="85" spans="1:4" x14ac:dyDescent="0.3">
      <c r="A85">
        <v>20744</v>
      </c>
      <c r="B85" t="s">
        <v>989</v>
      </c>
      <c r="C85">
        <v>1791</v>
      </c>
      <c r="D85">
        <v>1.1441969219761195E-2</v>
      </c>
    </row>
    <row r="86" spans="1:4" x14ac:dyDescent="0.3">
      <c r="A86">
        <v>20745</v>
      </c>
      <c r="B86" t="s">
        <v>989</v>
      </c>
      <c r="C86">
        <v>2394</v>
      </c>
      <c r="D86">
        <v>1.5294290514856672E-2</v>
      </c>
    </row>
    <row r="87" spans="1:4" x14ac:dyDescent="0.3">
      <c r="A87">
        <v>20746</v>
      </c>
      <c r="B87" t="s">
        <v>989</v>
      </c>
      <c r="C87">
        <v>815</v>
      </c>
      <c r="D87">
        <v>5.2067029112816158E-3</v>
      </c>
    </row>
    <row r="88" spans="1:4" x14ac:dyDescent="0.3">
      <c r="A88">
        <v>20747</v>
      </c>
      <c r="B88" t="s">
        <v>989</v>
      </c>
      <c r="C88">
        <v>753</v>
      </c>
      <c r="D88">
        <v>4.8106101744724624E-3</v>
      </c>
    </row>
    <row r="89" spans="1:4" x14ac:dyDescent="0.3">
      <c r="A89">
        <v>20748</v>
      </c>
      <c r="B89" t="s">
        <v>989</v>
      </c>
      <c r="C89">
        <v>559</v>
      </c>
      <c r="D89">
        <v>3.5712232238115623E-3</v>
      </c>
    </row>
    <row r="90" spans="1:4" x14ac:dyDescent="0.3">
      <c r="A90">
        <v>20751</v>
      </c>
      <c r="B90" t="s">
        <v>996</v>
      </c>
      <c r="C90">
        <v>0</v>
      </c>
      <c r="D90">
        <v>0</v>
      </c>
    </row>
    <row r="91" spans="1:4" x14ac:dyDescent="0.3">
      <c r="A91">
        <v>20754</v>
      </c>
      <c r="B91" t="s">
        <v>1055</v>
      </c>
      <c r="C91">
        <v>0</v>
      </c>
      <c r="D91">
        <v>0</v>
      </c>
    </row>
    <row r="92" spans="1:4" x14ac:dyDescent="0.3">
      <c r="A92">
        <v>20755</v>
      </c>
      <c r="B92" t="s">
        <v>996</v>
      </c>
      <c r="C92">
        <v>14</v>
      </c>
      <c r="D92">
        <v>8.9440295408518554E-5</v>
      </c>
    </row>
    <row r="93" spans="1:4" x14ac:dyDescent="0.3">
      <c r="A93">
        <v>20758</v>
      </c>
      <c r="B93" t="s">
        <v>996</v>
      </c>
      <c r="C93">
        <v>0</v>
      </c>
      <c r="D93">
        <v>0</v>
      </c>
    </row>
    <row r="94" spans="1:4" x14ac:dyDescent="0.3">
      <c r="A94">
        <v>20759</v>
      </c>
      <c r="B94" t="s">
        <v>1038</v>
      </c>
      <c r="C94">
        <v>0</v>
      </c>
      <c r="D94">
        <v>0</v>
      </c>
    </row>
    <row r="95" spans="1:4" x14ac:dyDescent="0.3">
      <c r="A95">
        <v>20762</v>
      </c>
      <c r="B95" t="s">
        <v>989</v>
      </c>
      <c r="C95">
        <v>0</v>
      </c>
      <c r="D95">
        <v>0</v>
      </c>
    </row>
    <row r="96" spans="1:4" x14ac:dyDescent="0.3">
      <c r="A96">
        <v>20763</v>
      </c>
      <c r="B96" t="s">
        <v>1038</v>
      </c>
      <c r="C96">
        <v>160</v>
      </c>
      <c r="D96">
        <v>1.0221748046687835E-3</v>
      </c>
    </row>
    <row r="97" spans="1:4" x14ac:dyDescent="0.3">
      <c r="A97">
        <v>20764</v>
      </c>
      <c r="B97" t="s">
        <v>996</v>
      </c>
      <c r="C97">
        <v>0</v>
      </c>
      <c r="D97">
        <v>0</v>
      </c>
    </row>
    <row r="98" spans="1:4" x14ac:dyDescent="0.3">
      <c r="A98">
        <v>20765</v>
      </c>
      <c r="B98" t="s">
        <v>996</v>
      </c>
      <c r="C98">
        <v>0</v>
      </c>
      <c r="D98">
        <v>0</v>
      </c>
    </row>
    <row r="99" spans="1:4" x14ac:dyDescent="0.3">
      <c r="A99">
        <v>20769</v>
      </c>
      <c r="B99" t="s">
        <v>989</v>
      </c>
      <c r="C99">
        <v>141</v>
      </c>
      <c r="D99">
        <v>9.0079154661436539E-4</v>
      </c>
    </row>
    <row r="100" spans="1:4" x14ac:dyDescent="0.3">
      <c r="A100">
        <v>20770</v>
      </c>
      <c r="B100" t="s">
        <v>989</v>
      </c>
      <c r="C100">
        <v>1804</v>
      </c>
      <c r="D100">
        <v>1.1525020922640534E-2</v>
      </c>
    </row>
    <row r="101" spans="1:4" x14ac:dyDescent="0.3">
      <c r="A101">
        <v>20772</v>
      </c>
      <c r="B101" t="s">
        <v>989</v>
      </c>
      <c r="C101">
        <v>445</v>
      </c>
      <c r="D101">
        <v>2.842923675485054E-3</v>
      </c>
    </row>
    <row r="102" spans="1:4" x14ac:dyDescent="0.3">
      <c r="A102">
        <v>20774</v>
      </c>
      <c r="B102" t="s">
        <v>989</v>
      </c>
      <c r="C102">
        <v>721</v>
      </c>
      <c r="D102">
        <v>4.6061752135387055E-3</v>
      </c>
    </row>
    <row r="103" spans="1:4" x14ac:dyDescent="0.3">
      <c r="A103">
        <v>20776</v>
      </c>
      <c r="B103" t="s">
        <v>996</v>
      </c>
      <c r="C103">
        <v>0</v>
      </c>
      <c r="D103">
        <v>0</v>
      </c>
    </row>
    <row r="104" spans="1:4" x14ac:dyDescent="0.3">
      <c r="A104">
        <v>20777</v>
      </c>
      <c r="B104" t="s">
        <v>1038</v>
      </c>
      <c r="C104">
        <v>30</v>
      </c>
      <c r="D104">
        <v>1.9165777587539689E-4</v>
      </c>
    </row>
    <row r="105" spans="1:4" x14ac:dyDescent="0.3">
      <c r="A105">
        <v>20778</v>
      </c>
      <c r="B105" t="s">
        <v>996</v>
      </c>
      <c r="C105">
        <v>0</v>
      </c>
      <c r="D105">
        <v>0</v>
      </c>
    </row>
    <row r="106" spans="1:4" x14ac:dyDescent="0.3">
      <c r="A106">
        <v>20779</v>
      </c>
      <c r="B106" t="s">
        <v>996</v>
      </c>
      <c r="C106">
        <v>0</v>
      </c>
      <c r="D106">
        <v>0</v>
      </c>
    </row>
    <row r="107" spans="1:4" x14ac:dyDescent="0.3">
      <c r="A107">
        <v>20781</v>
      </c>
      <c r="B107" t="s">
        <v>989</v>
      </c>
      <c r="C107">
        <v>1546</v>
      </c>
      <c r="D107">
        <v>9.876764050112119E-3</v>
      </c>
    </row>
    <row r="108" spans="1:4" x14ac:dyDescent="0.3">
      <c r="A108">
        <v>20782</v>
      </c>
      <c r="B108" t="s">
        <v>989</v>
      </c>
      <c r="C108">
        <v>4340</v>
      </c>
      <c r="D108">
        <v>2.7726491576640751E-2</v>
      </c>
    </row>
    <row r="109" spans="1:4" x14ac:dyDescent="0.3">
      <c r="A109">
        <v>20783</v>
      </c>
      <c r="B109" t="s">
        <v>989</v>
      </c>
      <c r="C109">
        <v>13957</v>
      </c>
      <c r="D109">
        <v>8.9165585929763813E-2</v>
      </c>
    </row>
    <row r="110" spans="1:4" x14ac:dyDescent="0.3">
      <c r="A110">
        <v>20784</v>
      </c>
      <c r="B110" t="s">
        <v>989</v>
      </c>
      <c r="C110">
        <v>2973</v>
      </c>
      <c r="D110">
        <v>1.8993285589251833E-2</v>
      </c>
    </row>
    <row r="111" spans="1:4" x14ac:dyDescent="0.3">
      <c r="A111">
        <v>20785</v>
      </c>
      <c r="B111" t="s">
        <v>989</v>
      </c>
      <c r="C111">
        <v>1625</v>
      </c>
      <c r="D111">
        <v>1.0381462859917331E-2</v>
      </c>
    </row>
    <row r="112" spans="1:4" x14ac:dyDescent="0.3">
      <c r="A112">
        <v>20794</v>
      </c>
      <c r="B112" t="s">
        <v>1038</v>
      </c>
      <c r="C112">
        <v>128</v>
      </c>
      <c r="D112">
        <v>8.1773984373502678E-4</v>
      </c>
    </row>
    <row r="113" spans="1:4" x14ac:dyDescent="0.3">
      <c r="A113">
        <v>20812</v>
      </c>
      <c r="B113" t="s">
        <v>991</v>
      </c>
      <c r="C113">
        <v>3</v>
      </c>
      <c r="D113">
        <v>1.916577758753969E-5</v>
      </c>
    </row>
    <row r="114" spans="1:4" x14ac:dyDescent="0.3">
      <c r="A114">
        <v>20814</v>
      </c>
      <c r="B114" t="s">
        <v>991</v>
      </c>
      <c r="C114">
        <v>184</v>
      </c>
      <c r="D114">
        <v>1.1755010253691009E-3</v>
      </c>
    </row>
    <row r="115" spans="1:4" x14ac:dyDescent="0.3">
      <c r="A115">
        <v>20815</v>
      </c>
      <c r="B115" t="s">
        <v>991</v>
      </c>
      <c r="C115">
        <v>408</v>
      </c>
      <c r="D115">
        <v>2.6065457519053978E-3</v>
      </c>
    </row>
    <row r="116" spans="1:4" x14ac:dyDescent="0.3">
      <c r="A116">
        <v>20816</v>
      </c>
      <c r="B116" t="s">
        <v>991</v>
      </c>
      <c r="C116">
        <v>70</v>
      </c>
      <c r="D116">
        <v>4.4720147704259275E-4</v>
      </c>
    </row>
    <row r="117" spans="1:4" x14ac:dyDescent="0.3">
      <c r="A117">
        <v>20817</v>
      </c>
      <c r="B117" t="s">
        <v>991</v>
      </c>
      <c r="C117">
        <v>341</v>
      </c>
      <c r="D117">
        <v>2.1785100524503447E-3</v>
      </c>
    </row>
    <row r="118" spans="1:4" x14ac:dyDescent="0.3">
      <c r="A118">
        <v>20818</v>
      </c>
      <c r="B118" t="s">
        <v>991</v>
      </c>
      <c r="C118">
        <v>17</v>
      </c>
      <c r="D118">
        <v>1.0860607299605824E-4</v>
      </c>
    </row>
    <row r="119" spans="1:4" x14ac:dyDescent="0.3">
      <c r="A119">
        <v>20832</v>
      </c>
      <c r="B119" t="s">
        <v>991</v>
      </c>
      <c r="C119">
        <v>207</v>
      </c>
      <c r="D119">
        <v>1.3224386535402386E-3</v>
      </c>
    </row>
    <row r="120" spans="1:4" x14ac:dyDescent="0.3">
      <c r="A120">
        <v>20833</v>
      </c>
      <c r="B120" t="s">
        <v>991</v>
      </c>
      <c r="C120">
        <v>45</v>
      </c>
      <c r="D120">
        <v>2.8748666381309536E-4</v>
      </c>
    </row>
    <row r="121" spans="1:4" x14ac:dyDescent="0.3">
      <c r="A121">
        <v>20837</v>
      </c>
      <c r="B121" t="s">
        <v>991</v>
      </c>
      <c r="C121">
        <v>34</v>
      </c>
      <c r="D121">
        <v>2.1721214599211647E-4</v>
      </c>
    </row>
    <row r="122" spans="1:4" x14ac:dyDescent="0.3">
      <c r="A122">
        <v>20838</v>
      </c>
      <c r="B122" t="s">
        <v>991</v>
      </c>
      <c r="C122">
        <v>2</v>
      </c>
      <c r="D122">
        <v>1.2777185058359793E-5</v>
      </c>
    </row>
    <row r="123" spans="1:4" x14ac:dyDescent="0.3">
      <c r="A123">
        <v>20839</v>
      </c>
      <c r="B123" t="s">
        <v>991</v>
      </c>
      <c r="C123">
        <v>3</v>
      </c>
      <c r="D123">
        <v>1.916577758753969E-5</v>
      </c>
    </row>
    <row r="124" spans="1:4" x14ac:dyDescent="0.3">
      <c r="A124">
        <v>20841</v>
      </c>
      <c r="B124" t="s">
        <v>991</v>
      </c>
      <c r="C124">
        <v>151</v>
      </c>
      <c r="D124">
        <v>9.6467747190616437E-4</v>
      </c>
    </row>
    <row r="125" spans="1:4" x14ac:dyDescent="0.3">
      <c r="A125">
        <v>20842</v>
      </c>
      <c r="B125" t="s">
        <v>991</v>
      </c>
      <c r="C125">
        <v>10</v>
      </c>
      <c r="D125">
        <v>6.3885925291798967E-5</v>
      </c>
    </row>
    <row r="126" spans="1:4" x14ac:dyDescent="0.3">
      <c r="A126">
        <v>20850</v>
      </c>
      <c r="B126" t="s">
        <v>991</v>
      </c>
      <c r="C126">
        <v>1002</v>
      </c>
      <c r="D126">
        <v>6.4013697142382558E-3</v>
      </c>
    </row>
    <row r="127" spans="1:4" x14ac:dyDescent="0.3">
      <c r="A127">
        <v>20851</v>
      </c>
      <c r="B127" t="s">
        <v>991</v>
      </c>
      <c r="C127">
        <v>2431</v>
      </c>
      <c r="D127">
        <v>1.5530668438436328E-2</v>
      </c>
    </row>
    <row r="128" spans="1:4" x14ac:dyDescent="0.3">
      <c r="A128">
        <v>20852</v>
      </c>
      <c r="B128" t="s">
        <v>991</v>
      </c>
      <c r="C128">
        <v>1391</v>
      </c>
      <c r="D128">
        <v>8.8865322080892359E-3</v>
      </c>
    </row>
    <row r="129" spans="1:4" x14ac:dyDescent="0.3">
      <c r="A129">
        <v>20853</v>
      </c>
      <c r="B129" t="s">
        <v>991</v>
      </c>
      <c r="C129">
        <v>1551</v>
      </c>
      <c r="D129">
        <v>9.9087070127580196E-3</v>
      </c>
    </row>
    <row r="130" spans="1:4" x14ac:dyDescent="0.3">
      <c r="A130">
        <v>20854</v>
      </c>
      <c r="B130" t="s">
        <v>991</v>
      </c>
      <c r="C130">
        <v>673</v>
      </c>
      <c r="D130">
        <v>4.2995227721380706E-3</v>
      </c>
    </row>
    <row r="131" spans="1:4" x14ac:dyDescent="0.3">
      <c r="A131">
        <v>20855</v>
      </c>
      <c r="B131" t="s">
        <v>991</v>
      </c>
      <c r="C131">
        <v>356</v>
      </c>
      <c r="D131">
        <v>2.2743389403880429E-3</v>
      </c>
    </row>
    <row r="132" spans="1:4" x14ac:dyDescent="0.3">
      <c r="A132">
        <v>20860</v>
      </c>
      <c r="B132" t="s">
        <v>991</v>
      </c>
      <c r="C132">
        <v>46</v>
      </c>
      <c r="D132">
        <v>2.9387525634227523E-4</v>
      </c>
    </row>
    <row r="133" spans="1:4" x14ac:dyDescent="0.3">
      <c r="A133">
        <v>20861</v>
      </c>
      <c r="B133" t="s">
        <v>991</v>
      </c>
      <c r="C133">
        <v>0</v>
      </c>
      <c r="D133">
        <v>0</v>
      </c>
    </row>
    <row r="134" spans="1:4" x14ac:dyDescent="0.3">
      <c r="A134">
        <v>20862</v>
      </c>
      <c r="B134" t="s">
        <v>991</v>
      </c>
      <c r="C134">
        <v>0</v>
      </c>
      <c r="D134">
        <v>0</v>
      </c>
    </row>
    <row r="135" spans="1:4" x14ac:dyDescent="0.3">
      <c r="A135">
        <v>20866</v>
      </c>
      <c r="B135" t="s">
        <v>991</v>
      </c>
      <c r="C135">
        <v>691</v>
      </c>
      <c r="D135">
        <v>4.4145174376633081E-3</v>
      </c>
    </row>
    <row r="136" spans="1:4" x14ac:dyDescent="0.3">
      <c r="A136">
        <v>20868</v>
      </c>
      <c r="B136" t="s">
        <v>991</v>
      </c>
      <c r="C136">
        <v>0</v>
      </c>
      <c r="D136">
        <v>0</v>
      </c>
    </row>
    <row r="137" spans="1:4" x14ac:dyDescent="0.3">
      <c r="A137">
        <v>20871</v>
      </c>
      <c r="B137" t="s">
        <v>991</v>
      </c>
      <c r="C137">
        <v>301</v>
      </c>
      <c r="D137">
        <v>1.9229663512831487E-3</v>
      </c>
    </row>
    <row r="138" spans="1:4" x14ac:dyDescent="0.3">
      <c r="A138">
        <v>20872</v>
      </c>
      <c r="B138" t="s">
        <v>991</v>
      </c>
      <c r="C138">
        <v>87</v>
      </c>
      <c r="D138">
        <v>5.5580755003865098E-4</v>
      </c>
    </row>
    <row r="139" spans="1:4" x14ac:dyDescent="0.3">
      <c r="A139">
        <v>20874</v>
      </c>
      <c r="B139" t="s">
        <v>991</v>
      </c>
      <c r="C139">
        <v>1886</v>
      </c>
      <c r="D139">
        <v>1.2048885510033285E-2</v>
      </c>
    </row>
    <row r="140" spans="1:4" x14ac:dyDescent="0.3">
      <c r="A140">
        <v>20876</v>
      </c>
      <c r="B140" t="s">
        <v>991</v>
      </c>
      <c r="C140">
        <v>1174</v>
      </c>
      <c r="D140">
        <v>7.5002076292571985E-3</v>
      </c>
    </row>
    <row r="141" spans="1:4" x14ac:dyDescent="0.3">
      <c r="A141">
        <v>20877</v>
      </c>
      <c r="B141" t="s">
        <v>991</v>
      </c>
      <c r="C141">
        <v>4958</v>
      </c>
      <c r="D141">
        <v>3.1674641759673924E-2</v>
      </c>
    </row>
    <row r="142" spans="1:4" x14ac:dyDescent="0.3">
      <c r="A142">
        <v>20878</v>
      </c>
      <c r="B142" t="s">
        <v>991</v>
      </c>
      <c r="C142">
        <v>1953</v>
      </c>
      <c r="D142">
        <v>1.2476921209488338E-2</v>
      </c>
    </row>
    <row r="143" spans="1:4" x14ac:dyDescent="0.3">
      <c r="A143">
        <v>20879</v>
      </c>
      <c r="B143" t="s">
        <v>991</v>
      </c>
      <c r="C143">
        <v>1095</v>
      </c>
      <c r="D143">
        <v>6.9955088194519864E-3</v>
      </c>
    </row>
    <row r="144" spans="1:4" x14ac:dyDescent="0.3">
      <c r="A144">
        <v>20880</v>
      </c>
      <c r="B144" t="s">
        <v>991</v>
      </c>
      <c r="C144">
        <v>3</v>
      </c>
      <c r="D144">
        <v>1.916577758753969E-5</v>
      </c>
    </row>
    <row r="145" spans="1:4" x14ac:dyDescent="0.3">
      <c r="A145">
        <v>20882</v>
      </c>
      <c r="B145" t="s">
        <v>991</v>
      </c>
      <c r="C145">
        <v>106</v>
      </c>
      <c r="D145">
        <v>6.7719080809306906E-4</v>
      </c>
    </row>
    <row r="146" spans="1:4" x14ac:dyDescent="0.3">
      <c r="A146">
        <v>20886</v>
      </c>
      <c r="B146" t="s">
        <v>991</v>
      </c>
      <c r="C146">
        <v>2354</v>
      </c>
      <c r="D146">
        <v>1.5038746813689476E-2</v>
      </c>
    </row>
    <row r="147" spans="1:4" x14ac:dyDescent="0.3">
      <c r="A147">
        <v>20895</v>
      </c>
      <c r="B147" t="s">
        <v>991</v>
      </c>
      <c r="C147">
        <v>399</v>
      </c>
      <c r="D147">
        <v>2.5490484191427786E-3</v>
      </c>
    </row>
    <row r="148" spans="1:4" x14ac:dyDescent="0.3">
      <c r="A148">
        <v>20896</v>
      </c>
      <c r="B148" t="s">
        <v>991</v>
      </c>
      <c r="C148">
        <v>0</v>
      </c>
      <c r="D148">
        <v>0</v>
      </c>
    </row>
    <row r="149" spans="1:4" x14ac:dyDescent="0.3">
      <c r="A149">
        <v>20899</v>
      </c>
      <c r="B149" t="s">
        <v>991</v>
      </c>
      <c r="C149">
        <v>20</v>
      </c>
      <c r="D149">
        <v>1.2777185058359793E-4</v>
      </c>
    </row>
    <row r="150" spans="1:4" x14ac:dyDescent="0.3">
      <c r="A150">
        <v>20901</v>
      </c>
      <c r="B150" t="s">
        <v>991</v>
      </c>
      <c r="C150">
        <v>2379</v>
      </c>
      <c r="D150">
        <v>1.5198461626918973E-2</v>
      </c>
    </row>
    <row r="151" spans="1:4" x14ac:dyDescent="0.3">
      <c r="A151">
        <v>20902</v>
      </c>
      <c r="B151" t="s">
        <v>991</v>
      </c>
      <c r="C151">
        <v>5422</v>
      </c>
      <c r="D151">
        <v>3.4638948693213399E-2</v>
      </c>
    </row>
    <row r="152" spans="1:4" x14ac:dyDescent="0.3">
      <c r="A152">
        <v>20903</v>
      </c>
      <c r="B152" t="s">
        <v>991</v>
      </c>
      <c r="C152">
        <v>5433</v>
      </c>
      <c r="D152">
        <v>3.4709223211034375E-2</v>
      </c>
    </row>
    <row r="153" spans="1:4" x14ac:dyDescent="0.3">
      <c r="A153">
        <v>20904</v>
      </c>
      <c r="B153" t="s">
        <v>991</v>
      </c>
      <c r="C153">
        <v>2753</v>
      </c>
      <c r="D153">
        <v>1.7587795232832253E-2</v>
      </c>
    </row>
    <row r="154" spans="1:4" x14ac:dyDescent="0.3">
      <c r="A154">
        <v>20905</v>
      </c>
      <c r="B154" t="s">
        <v>991</v>
      </c>
      <c r="C154">
        <v>585</v>
      </c>
      <c r="D154">
        <v>3.7373266295702393E-3</v>
      </c>
    </row>
    <row r="155" spans="1:4" x14ac:dyDescent="0.3">
      <c r="A155">
        <v>20906</v>
      </c>
      <c r="B155" t="s">
        <v>991</v>
      </c>
      <c r="C155">
        <v>6171</v>
      </c>
      <c r="D155">
        <v>3.9424004497569137E-2</v>
      </c>
    </row>
    <row r="156" spans="1:4" x14ac:dyDescent="0.3">
      <c r="A156">
        <v>20910</v>
      </c>
      <c r="B156" t="s">
        <v>991</v>
      </c>
      <c r="C156">
        <v>1188</v>
      </c>
      <c r="D156">
        <v>7.589647924665717E-3</v>
      </c>
    </row>
    <row r="157" spans="1:4" x14ac:dyDescent="0.3">
      <c r="A157">
        <v>20912</v>
      </c>
      <c r="B157" t="s">
        <v>991</v>
      </c>
      <c r="C157">
        <v>2512</v>
      </c>
      <c r="D157">
        <v>1.60481444332999E-2</v>
      </c>
    </row>
    <row r="158" spans="1:4" x14ac:dyDescent="0.3">
      <c r="A158">
        <v>21001</v>
      </c>
      <c r="B158" t="s">
        <v>1045</v>
      </c>
      <c r="C158">
        <v>214</v>
      </c>
      <c r="D158">
        <v>1.3671588012444979E-3</v>
      </c>
    </row>
    <row r="159" spans="1:4" x14ac:dyDescent="0.3">
      <c r="A159">
        <v>21005</v>
      </c>
      <c r="B159" t="s">
        <v>1045</v>
      </c>
      <c r="C159">
        <v>0</v>
      </c>
      <c r="D159">
        <v>0</v>
      </c>
    </row>
    <row r="160" spans="1:4" x14ac:dyDescent="0.3">
      <c r="A160">
        <v>21009</v>
      </c>
      <c r="B160" t="s">
        <v>1045</v>
      </c>
      <c r="C160">
        <v>313</v>
      </c>
      <c r="D160">
        <v>1.9996294616333077E-3</v>
      </c>
    </row>
    <row r="161" spans="1:4" x14ac:dyDescent="0.3">
      <c r="A161">
        <v>21010</v>
      </c>
      <c r="B161" t="s">
        <v>1045</v>
      </c>
      <c r="C161">
        <v>0</v>
      </c>
      <c r="D161">
        <v>0</v>
      </c>
    </row>
    <row r="162" spans="1:4" x14ac:dyDescent="0.3">
      <c r="A162">
        <v>21012</v>
      </c>
      <c r="B162" t="s">
        <v>996</v>
      </c>
      <c r="C162">
        <v>7</v>
      </c>
      <c r="D162">
        <v>4.4720147704259277E-5</v>
      </c>
    </row>
    <row r="163" spans="1:4" x14ac:dyDescent="0.3">
      <c r="A163">
        <v>21013</v>
      </c>
      <c r="B163" t="s">
        <v>992</v>
      </c>
      <c r="C163">
        <v>0</v>
      </c>
      <c r="D163">
        <v>0</v>
      </c>
    </row>
    <row r="164" spans="1:4" x14ac:dyDescent="0.3">
      <c r="A164">
        <v>21014</v>
      </c>
      <c r="B164" t="s">
        <v>1045</v>
      </c>
      <c r="C164">
        <v>192</v>
      </c>
      <c r="D164">
        <v>1.2266097656025402E-3</v>
      </c>
    </row>
    <row r="165" spans="1:4" x14ac:dyDescent="0.3">
      <c r="A165">
        <v>21015</v>
      </c>
      <c r="B165" t="s">
        <v>1045</v>
      </c>
      <c r="C165">
        <v>95</v>
      </c>
      <c r="D165">
        <v>6.0691629027209021E-4</v>
      </c>
    </row>
    <row r="166" spans="1:4" x14ac:dyDescent="0.3">
      <c r="A166">
        <v>21017</v>
      </c>
      <c r="B166" t="s">
        <v>1045</v>
      </c>
      <c r="C166">
        <v>0</v>
      </c>
      <c r="D166">
        <v>0</v>
      </c>
    </row>
    <row r="167" spans="1:4" x14ac:dyDescent="0.3">
      <c r="A167">
        <v>21028</v>
      </c>
      <c r="B167" t="s">
        <v>1045</v>
      </c>
      <c r="C167">
        <v>0</v>
      </c>
      <c r="D167">
        <v>0</v>
      </c>
    </row>
    <row r="168" spans="1:4" x14ac:dyDescent="0.3">
      <c r="A168">
        <v>21029</v>
      </c>
      <c r="B168" t="s">
        <v>1038</v>
      </c>
      <c r="C168">
        <v>203</v>
      </c>
      <c r="D168">
        <v>1.2968842834235189E-3</v>
      </c>
    </row>
    <row r="169" spans="1:4" x14ac:dyDescent="0.3">
      <c r="A169">
        <v>21030</v>
      </c>
      <c r="B169" t="s">
        <v>992</v>
      </c>
      <c r="C169">
        <v>1255</v>
      </c>
      <c r="D169">
        <v>8.0176836241207701E-3</v>
      </c>
    </row>
    <row r="170" spans="1:4" x14ac:dyDescent="0.3">
      <c r="A170">
        <v>21031</v>
      </c>
      <c r="B170" t="s">
        <v>992</v>
      </c>
      <c r="C170">
        <v>0</v>
      </c>
      <c r="D170">
        <v>0</v>
      </c>
    </row>
    <row r="171" spans="1:4" x14ac:dyDescent="0.3">
      <c r="A171">
        <v>21032</v>
      </c>
      <c r="B171" t="s">
        <v>996</v>
      </c>
      <c r="C171">
        <v>0</v>
      </c>
      <c r="D171">
        <v>0</v>
      </c>
    </row>
    <row r="172" spans="1:4" x14ac:dyDescent="0.3">
      <c r="A172">
        <v>21034</v>
      </c>
      <c r="B172" t="s">
        <v>1045</v>
      </c>
      <c r="C172">
        <v>0</v>
      </c>
      <c r="D172">
        <v>0</v>
      </c>
    </row>
    <row r="173" spans="1:4" x14ac:dyDescent="0.3">
      <c r="A173">
        <v>21035</v>
      </c>
      <c r="B173" t="s">
        <v>996</v>
      </c>
      <c r="C173">
        <v>26</v>
      </c>
      <c r="D173">
        <v>1.661034057586773E-4</v>
      </c>
    </row>
    <row r="174" spans="1:4" x14ac:dyDescent="0.3">
      <c r="A174">
        <v>21036</v>
      </c>
      <c r="B174" t="s">
        <v>1038</v>
      </c>
      <c r="C174">
        <v>0</v>
      </c>
      <c r="D174">
        <v>0</v>
      </c>
    </row>
    <row r="175" spans="1:4" x14ac:dyDescent="0.3">
      <c r="A175">
        <v>21037</v>
      </c>
      <c r="B175" t="s">
        <v>996</v>
      </c>
      <c r="C175">
        <v>583</v>
      </c>
      <c r="D175">
        <v>3.7245494445118797E-3</v>
      </c>
    </row>
    <row r="176" spans="1:4" x14ac:dyDescent="0.3">
      <c r="A176">
        <v>21040</v>
      </c>
      <c r="B176" t="s">
        <v>1045</v>
      </c>
      <c r="C176">
        <v>188</v>
      </c>
      <c r="D176">
        <v>1.2010553954858204E-3</v>
      </c>
    </row>
    <row r="177" spans="1:4" x14ac:dyDescent="0.3">
      <c r="A177">
        <v>21042</v>
      </c>
      <c r="B177" t="s">
        <v>1038</v>
      </c>
      <c r="C177">
        <v>212</v>
      </c>
      <c r="D177">
        <v>1.3543816161861381E-3</v>
      </c>
    </row>
    <row r="178" spans="1:4" x14ac:dyDescent="0.3">
      <c r="A178">
        <v>21043</v>
      </c>
      <c r="B178" t="s">
        <v>1038</v>
      </c>
      <c r="C178">
        <v>932</v>
      </c>
      <c r="D178">
        <v>5.9541682371956634E-3</v>
      </c>
    </row>
    <row r="179" spans="1:4" x14ac:dyDescent="0.3">
      <c r="A179">
        <v>21044</v>
      </c>
      <c r="B179" t="s">
        <v>1038</v>
      </c>
      <c r="C179">
        <v>967</v>
      </c>
      <c r="D179">
        <v>6.1777689757169596E-3</v>
      </c>
    </row>
    <row r="180" spans="1:4" x14ac:dyDescent="0.3">
      <c r="A180">
        <v>21045</v>
      </c>
      <c r="B180" t="s">
        <v>1038</v>
      </c>
      <c r="C180">
        <v>812</v>
      </c>
      <c r="D180">
        <v>5.1875371336940757E-3</v>
      </c>
    </row>
    <row r="181" spans="1:4" x14ac:dyDescent="0.3">
      <c r="A181">
        <v>21046</v>
      </c>
      <c r="B181" t="s">
        <v>1038</v>
      </c>
      <c r="C181">
        <v>160</v>
      </c>
      <c r="D181">
        <v>1.0221748046687835E-3</v>
      </c>
    </row>
    <row r="182" spans="1:4" x14ac:dyDescent="0.3">
      <c r="A182">
        <v>21047</v>
      </c>
      <c r="B182" t="s">
        <v>1045</v>
      </c>
      <c r="C182">
        <v>119</v>
      </c>
      <c r="D182">
        <v>7.6024251097240767E-4</v>
      </c>
    </row>
    <row r="183" spans="1:4" x14ac:dyDescent="0.3">
      <c r="A183">
        <v>21048</v>
      </c>
      <c r="B183" t="s">
        <v>1041</v>
      </c>
      <c r="C183">
        <v>0</v>
      </c>
      <c r="D183">
        <v>0</v>
      </c>
    </row>
    <row r="184" spans="1:4" x14ac:dyDescent="0.3">
      <c r="A184">
        <v>21050</v>
      </c>
      <c r="B184" t="s">
        <v>1045</v>
      </c>
      <c r="C184">
        <v>21</v>
      </c>
      <c r="D184">
        <v>1.3416044311277784E-4</v>
      </c>
    </row>
    <row r="185" spans="1:4" x14ac:dyDescent="0.3">
      <c r="A185">
        <v>21051</v>
      </c>
      <c r="B185" t="s">
        <v>992</v>
      </c>
      <c r="C185">
        <v>0</v>
      </c>
      <c r="D185">
        <v>0</v>
      </c>
    </row>
    <row r="186" spans="1:4" x14ac:dyDescent="0.3">
      <c r="A186">
        <v>21052</v>
      </c>
      <c r="B186" t="s">
        <v>992</v>
      </c>
      <c r="C186">
        <v>0</v>
      </c>
      <c r="D186">
        <v>0</v>
      </c>
    </row>
    <row r="187" spans="1:4" x14ac:dyDescent="0.3">
      <c r="A187">
        <v>21053</v>
      </c>
      <c r="B187" t="s">
        <v>992</v>
      </c>
      <c r="C187">
        <v>0</v>
      </c>
      <c r="D187">
        <v>0</v>
      </c>
    </row>
    <row r="188" spans="1:4" x14ac:dyDescent="0.3">
      <c r="A188">
        <v>21054</v>
      </c>
      <c r="B188" t="s">
        <v>996</v>
      </c>
      <c r="C188">
        <v>1</v>
      </c>
      <c r="D188">
        <v>6.3885925291798967E-6</v>
      </c>
    </row>
    <row r="189" spans="1:4" x14ac:dyDescent="0.3">
      <c r="A189">
        <v>21056</v>
      </c>
      <c r="B189" t="s">
        <v>996</v>
      </c>
      <c r="C189">
        <v>0</v>
      </c>
      <c r="D189">
        <v>0</v>
      </c>
    </row>
    <row r="190" spans="1:4" x14ac:dyDescent="0.3">
      <c r="A190">
        <v>21057</v>
      </c>
      <c r="B190" t="s">
        <v>992</v>
      </c>
      <c r="C190">
        <v>10</v>
      </c>
      <c r="D190">
        <v>6.3885925291798967E-5</v>
      </c>
    </row>
    <row r="191" spans="1:4" x14ac:dyDescent="0.3">
      <c r="A191">
        <v>21060</v>
      </c>
      <c r="B191" t="s">
        <v>996</v>
      </c>
      <c r="C191">
        <v>615</v>
      </c>
      <c r="D191">
        <v>3.9289844054456362E-3</v>
      </c>
    </row>
    <row r="192" spans="1:4" x14ac:dyDescent="0.3">
      <c r="A192">
        <v>21061</v>
      </c>
      <c r="B192" t="s">
        <v>996</v>
      </c>
      <c r="C192">
        <v>1258</v>
      </c>
      <c r="D192">
        <v>8.0368494017083094E-3</v>
      </c>
    </row>
    <row r="193" spans="1:4" x14ac:dyDescent="0.3">
      <c r="A193">
        <v>21071</v>
      </c>
      <c r="B193" t="s">
        <v>992</v>
      </c>
      <c r="C193">
        <v>0</v>
      </c>
      <c r="D193">
        <v>0</v>
      </c>
    </row>
    <row r="194" spans="1:4" x14ac:dyDescent="0.3">
      <c r="A194">
        <v>21074</v>
      </c>
      <c r="B194" t="s">
        <v>1041</v>
      </c>
      <c r="C194">
        <v>62</v>
      </c>
      <c r="D194">
        <v>3.9609273680915358E-4</v>
      </c>
    </row>
    <row r="195" spans="1:4" x14ac:dyDescent="0.3">
      <c r="A195">
        <v>21075</v>
      </c>
      <c r="B195" t="s">
        <v>1038</v>
      </c>
      <c r="C195">
        <v>899</v>
      </c>
      <c r="D195">
        <v>5.7433446837327267E-3</v>
      </c>
    </row>
    <row r="196" spans="1:4" x14ac:dyDescent="0.3">
      <c r="A196">
        <v>21076</v>
      </c>
      <c r="B196" t="s">
        <v>996</v>
      </c>
      <c r="C196">
        <v>107</v>
      </c>
      <c r="D196">
        <v>6.8357940062224894E-4</v>
      </c>
    </row>
    <row r="197" spans="1:4" x14ac:dyDescent="0.3">
      <c r="A197">
        <v>21077</v>
      </c>
      <c r="B197" t="s">
        <v>996</v>
      </c>
      <c r="C197">
        <v>0</v>
      </c>
      <c r="D197">
        <v>0</v>
      </c>
    </row>
    <row r="198" spans="1:4" x14ac:dyDescent="0.3">
      <c r="A198">
        <v>21078</v>
      </c>
      <c r="B198" t="s">
        <v>1045</v>
      </c>
      <c r="C198">
        <v>61</v>
      </c>
      <c r="D198">
        <v>3.897041442799737E-4</v>
      </c>
    </row>
    <row r="199" spans="1:4" x14ac:dyDescent="0.3">
      <c r="A199">
        <v>21082</v>
      </c>
      <c r="B199" t="s">
        <v>992</v>
      </c>
      <c r="C199">
        <v>0</v>
      </c>
      <c r="D199">
        <v>0</v>
      </c>
    </row>
    <row r="200" spans="1:4" x14ac:dyDescent="0.3">
      <c r="A200">
        <v>21084</v>
      </c>
      <c r="B200" t="s">
        <v>1045</v>
      </c>
      <c r="C200">
        <v>0</v>
      </c>
      <c r="D200">
        <v>0</v>
      </c>
    </row>
    <row r="201" spans="1:4" x14ac:dyDescent="0.3">
      <c r="A201">
        <v>21085</v>
      </c>
      <c r="B201" t="s">
        <v>1045</v>
      </c>
      <c r="C201">
        <v>22</v>
      </c>
      <c r="D201">
        <v>1.4054903564195771E-4</v>
      </c>
    </row>
    <row r="202" spans="1:4" x14ac:dyDescent="0.3">
      <c r="A202">
        <v>21087</v>
      </c>
      <c r="B202" t="s">
        <v>992</v>
      </c>
      <c r="C202">
        <v>0</v>
      </c>
      <c r="D202">
        <v>0</v>
      </c>
    </row>
    <row r="203" spans="1:4" x14ac:dyDescent="0.3">
      <c r="A203">
        <v>21090</v>
      </c>
      <c r="B203" t="s">
        <v>996</v>
      </c>
      <c r="C203">
        <v>103</v>
      </c>
      <c r="D203">
        <v>6.5802503050552933E-4</v>
      </c>
    </row>
    <row r="204" spans="1:4" x14ac:dyDescent="0.3">
      <c r="A204">
        <v>21093</v>
      </c>
      <c r="B204" t="s">
        <v>992</v>
      </c>
      <c r="C204">
        <v>148</v>
      </c>
      <c r="D204">
        <v>9.4551169431862463E-4</v>
      </c>
    </row>
    <row r="205" spans="1:4" x14ac:dyDescent="0.3">
      <c r="A205">
        <v>21102</v>
      </c>
      <c r="B205" t="s">
        <v>1041</v>
      </c>
      <c r="C205">
        <v>0</v>
      </c>
      <c r="D205">
        <v>0</v>
      </c>
    </row>
    <row r="206" spans="1:4" x14ac:dyDescent="0.3">
      <c r="A206">
        <v>21104</v>
      </c>
      <c r="B206" t="s">
        <v>1041</v>
      </c>
      <c r="C206">
        <v>7</v>
      </c>
      <c r="D206">
        <v>4.4720147704259277E-5</v>
      </c>
    </row>
    <row r="207" spans="1:4" x14ac:dyDescent="0.3">
      <c r="A207">
        <v>21105</v>
      </c>
      <c r="B207" t="s">
        <v>992</v>
      </c>
      <c r="C207">
        <v>0</v>
      </c>
      <c r="D207">
        <v>0</v>
      </c>
    </row>
    <row r="208" spans="1:4" x14ac:dyDescent="0.3">
      <c r="A208">
        <v>21108</v>
      </c>
      <c r="B208" t="s">
        <v>996</v>
      </c>
      <c r="C208">
        <v>155</v>
      </c>
      <c r="D208">
        <v>9.9023184202288398E-4</v>
      </c>
    </row>
    <row r="209" spans="1:4" x14ac:dyDescent="0.3">
      <c r="A209">
        <v>21111</v>
      </c>
      <c r="B209" t="s">
        <v>992</v>
      </c>
      <c r="C209">
        <v>0</v>
      </c>
      <c r="D209">
        <v>0</v>
      </c>
    </row>
    <row r="210" spans="1:4" x14ac:dyDescent="0.3">
      <c r="A210">
        <v>21113</v>
      </c>
      <c r="B210" t="s">
        <v>996</v>
      </c>
      <c r="C210">
        <v>419</v>
      </c>
      <c r="D210">
        <v>2.6768202697263765E-3</v>
      </c>
    </row>
    <row r="211" spans="1:4" x14ac:dyDescent="0.3">
      <c r="A211">
        <v>21114</v>
      </c>
      <c r="B211" t="s">
        <v>996</v>
      </c>
      <c r="C211">
        <v>91</v>
      </c>
      <c r="D211">
        <v>5.8136192015537059E-4</v>
      </c>
    </row>
    <row r="212" spans="1:4" x14ac:dyDescent="0.3">
      <c r="A212">
        <v>21117</v>
      </c>
      <c r="B212" t="s">
        <v>992</v>
      </c>
      <c r="C212">
        <v>2238</v>
      </c>
      <c r="D212">
        <v>1.4297670080304609E-2</v>
      </c>
    </row>
    <row r="213" spans="1:4" x14ac:dyDescent="0.3">
      <c r="A213">
        <v>21120</v>
      </c>
      <c r="B213" t="s">
        <v>992</v>
      </c>
      <c r="C213">
        <v>9</v>
      </c>
      <c r="D213">
        <v>5.749733276261907E-5</v>
      </c>
    </row>
    <row r="214" spans="1:4" x14ac:dyDescent="0.3">
      <c r="A214">
        <v>21122</v>
      </c>
      <c r="B214" t="s">
        <v>996</v>
      </c>
      <c r="C214">
        <v>127</v>
      </c>
      <c r="D214">
        <v>8.1135125120584679E-4</v>
      </c>
    </row>
    <row r="215" spans="1:4" x14ac:dyDescent="0.3">
      <c r="A215">
        <v>21128</v>
      </c>
      <c r="B215" t="s">
        <v>992</v>
      </c>
      <c r="C215">
        <v>85</v>
      </c>
      <c r="D215">
        <v>5.4303036498029123E-4</v>
      </c>
    </row>
    <row r="216" spans="1:4" x14ac:dyDescent="0.3">
      <c r="A216">
        <v>21130</v>
      </c>
      <c r="B216" t="s">
        <v>1045</v>
      </c>
      <c r="C216">
        <v>0</v>
      </c>
      <c r="D216">
        <v>0</v>
      </c>
    </row>
    <row r="217" spans="1:4" x14ac:dyDescent="0.3">
      <c r="A217">
        <v>21131</v>
      </c>
      <c r="B217" t="s">
        <v>992</v>
      </c>
      <c r="C217">
        <v>23</v>
      </c>
      <c r="D217">
        <v>1.4693762817113762E-4</v>
      </c>
    </row>
    <row r="218" spans="1:4" x14ac:dyDescent="0.3">
      <c r="A218">
        <v>21132</v>
      </c>
      <c r="B218" t="s">
        <v>1045</v>
      </c>
      <c r="C218">
        <v>0</v>
      </c>
      <c r="D218">
        <v>0</v>
      </c>
    </row>
    <row r="219" spans="1:4" x14ac:dyDescent="0.3">
      <c r="A219">
        <v>21133</v>
      </c>
      <c r="B219" t="s">
        <v>992</v>
      </c>
      <c r="C219">
        <v>246</v>
      </c>
      <c r="D219">
        <v>1.5715937621782546E-3</v>
      </c>
    </row>
    <row r="220" spans="1:4" x14ac:dyDescent="0.3">
      <c r="A220">
        <v>21136</v>
      </c>
      <c r="B220" t="s">
        <v>992</v>
      </c>
      <c r="C220">
        <v>1019</v>
      </c>
      <c r="D220">
        <v>6.5099757872343145E-3</v>
      </c>
    </row>
    <row r="221" spans="1:4" x14ac:dyDescent="0.3">
      <c r="A221">
        <v>21140</v>
      </c>
      <c r="B221" t="s">
        <v>996</v>
      </c>
      <c r="C221">
        <v>0</v>
      </c>
      <c r="D221">
        <v>0</v>
      </c>
    </row>
    <row r="222" spans="1:4" x14ac:dyDescent="0.3">
      <c r="A222">
        <v>21144</v>
      </c>
      <c r="B222" t="s">
        <v>996</v>
      </c>
      <c r="C222">
        <v>572</v>
      </c>
      <c r="D222">
        <v>3.6542749266909006E-3</v>
      </c>
    </row>
    <row r="223" spans="1:4" x14ac:dyDescent="0.3">
      <c r="A223">
        <v>21146</v>
      </c>
      <c r="B223" t="s">
        <v>996</v>
      </c>
      <c r="C223">
        <v>36</v>
      </c>
      <c r="D223">
        <v>2.2998933105047628E-4</v>
      </c>
    </row>
    <row r="224" spans="1:4" x14ac:dyDescent="0.3">
      <c r="A224">
        <v>21152</v>
      </c>
      <c r="B224" t="s">
        <v>992</v>
      </c>
      <c r="C224">
        <v>0</v>
      </c>
      <c r="D224">
        <v>0</v>
      </c>
    </row>
    <row r="225" spans="1:4" x14ac:dyDescent="0.3">
      <c r="A225">
        <v>21153</v>
      </c>
      <c r="B225" t="s">
        <v>992</v>
      </c>
      <c r="C225">
        <v>0</v>
      </c>
      <c r="D225">
        <v>0</v>
      </c>
    </row>
    <row r="226" spans="1:4" x14ac:dyDescent="0.3">
      <c r="A226">
        <v>21154</v>
      </c>
      <c r="B226" t="s">
        <v>1045</v>
      </c>
      <c r="C226">
        <v>56</v>
      </c>
      <c r="D226">
        <v>3.5776118163407421E-4</v>
      </c>
    </row>
    <row r="227" spans="1:4" x14ac:dyDescent="0.3">
      <c r="A227">
        <v>21155</v>
      </c>
      <c r="B227" t="s">
        <v>992</v>
      </c>
      <c r="C227">
        <v>0</v>
      </c>
      <c r="D227">
        <v>0</v>
      </c>
    </row>
    <row r="228" spans="1:4" x14ac:dyDescent="0.3">
      <c r="A228">
        <v>21156</v>
      </c>
      <c r="B228" t="s">
        <v>992</v>
      </c>
      <c r="C228">
        <v>0</v>
      </c>
      <c r="D228">
        <v>0</v>
      </c>
    </row>
    <row r="229" spans="1:4" x14ac:dyDescent="0.3">
      <c r="A229">
        <v>21157</v>
      </c>
      <c r="B229" t="s">
        <v>1041</v>
      </c>
      <c r="C229">
        <v>240</v>
      </c>
      <c r="D229">
        <v>1.5332622070031751E-3</v>
      </c>
    </row>
    <row r="230" spans="1:4" x14ac:dyDescent="0.3">
      <c r="A230">
        <v>21158</v>
      </c>
      <c r="B230" t="s">
        <v>1041</v>
      </c>
      <c r="C230">
        <v>185</v>
      </c>
      <c r="D230">
        <v>1.1818896178982809E-3</v>
      </c>
    </row>
    <row r="231" spans="1:4" x14ac:dyDescent="0.3">
      <c r="A231">
        <v>21160</v>
      </c>
      <c r="B231" t="s">
        <v>1045</v>
      </c>
      <c r="C231">
        <v>0</v>
      </c>
      <c r="D231">
        <v>0</v>
      </c>
    </row>
    <row r="232" spans="1:4" x14ac:dyDescent="0.3">
      <c r="A232">
        <v>21161</v>
      </c>
      <c r="B232" t="s">
        <v>1045</v>
      </c>
      <c r="C232">
        <v>0</v>
      </c>
      <c r="D232">
        <v>0</v>
      </c>
    </row>
    <row r="233" spans="1:4" x14ac:dyDescent="0.3">
      <c r="A233">
        <v>21162</v>
      </c>
      <c r="B233" t="s">
        <v>992</v>
      </c>
      <c r="C233">
        <v>20</v>
      </c>
      <c r="D233">
        <v>1.2777185058359793E-4</v>
      </c>
    </row>
    <row r="234" spans="1:4" x14ac:dyDescent="0.3">
      <c r="A234">
        <v>21163</v>
      </c>
      <c r="B234" t="s">
        <v>1038</v>
      </c>
      <c r="C234">
        <v>147</v>
      </c>
      <c r="D234">
        <v>9.3912310178944475E-4</v>
      </c>
    </row>
    <row r="235" spans="1:4" x14ac:dyDescent="0.3">
      <c r="A235">
        <v>21201</v>
      </c>
      <c r="B235" t="s">
        <v>993</v>
      </c>
      <c r="C235">
        <v>96</v>
      </c>
      <c r="D235">
        <v>6.1330488280127008E-4</v>
      </c>
    </row>
    <row r="236" spans="1:4" x14ac:dyDescent="0.3">
      <c r="A236">
        <v>21202</v>
      </c>
      <c r="B236" t="s">
        <v>993</v>
      </c>
      <c r="C236">
        <v>128</v>
      </c>
      <c r="D236">
        <v>8.1773984373502678E-4</v>
      </c>
    </row>
    <row r="237" spans="1:4" x14ac:dyDescent="0.3">
      <c r="A237">
        <v>21204</v>
      </c>
      <c r="B237" t="s">
        <v>992</v>
      </c>
      <c r="C237">
        <v>130</v>
      </c>
      <c r="D237">
        <v>8.3051702879338653E-4</v>
      </c>
    </row>
    <row r="238" spans="1:4" x14ac:dyDescent="0.3">
      <c r="A238">
        <v>21205</v>
      </c>
      <c r="B238" t="s">
        <v>993</v>
      </c>
      <c r="C238">
        <v>363</v>
      </c>
      <c r="D238">
        <v>2.3190590880923026E-3</v>
      </c>
    </row>
    <row r="239" spans="1:4" x14ac:dyDescent="0.3">
      <c r="A239">
        <v>21206</v>
      </c>
      <c r="B239" t="s">
        <v>993</v>
      </c>
      <c r="C239">
        <v>645</v>
      </c>
      <c r="D239">
        <v>4.1206421813210336E-3</v>
      </c>
    </row>
    <row r="240" spans="1:4" x14ac:dyDescent="0.3">
      <c r="A240">
        <v>21207</v>
      </c>
      <c r="B240" t="s">
        <v>992</v>
      </c>
      <c r="C240">
        <v>821</v>
      </c>
      <c r="D240">
        <v>5.2450344664566953E-3</v>
      </c>
    </row>
    <row r="241" spans="1:4" x14ac:dyDescent="0.3">
      <c r="A241">
        <v>21208</v>
      </c>
      <c r="B241" t="s">
        <v>992</v>
      </c>
      <c r="C241">
        <v>495</v>
      </c>
      <c r="D241">
        <v>3.1623533019440489E-3</v>
      </c>
    </row>
    <row r="242" spans="1:4" x14ac:dyDescent="0.3">
      <c r="A242">
        <v>21209</v>
      </c>
      <c r="B242" t="s">
        <v>993</v>
      </c>
      <c r="C242">
        <v>205</v>
      </c>
      <c r="D242">
        <v>1.3096614684818787E-3</v>
      </c>
    </row>
    <row r="243" spans="1:4" x14ac:dyDescent="0.3">
      <c r="A243">
        <v>21210</v>
      </c>
      <c r="B243" t="s">
        <v>993</v>
      </c>
      <c r="C243">
        <v>102</v>
      </c>
      <c r="D243">
        <v>6.5163643797634945E-4</v>
      </c>
    </row>
    <row r="244" spans="1:4" x14ac:dyDescent="0.3">
      <c r="A244">
        <v>21211</v>
      </c>
      <c r="B244" t="s">
        <v>993</v>
      </c>
      <c r="C244">
        <v>50</v>
      </c>
      <c r="D244">
        <v>3.1942962645899479E-4</v>
      </c>
    </row>
    <row r="245" spans="1:4" x14ac:dyDescent="0.3">
      <c r="A245">
        <v>21212</v>
      </c>
      <c r="B245" t="s">
        <v>993</v>
      </c>
      <c r="C245">
        <v>381</v>
      </c>
      <c r="D245">
        <v>2.4340537536175406E-3</v>
      </c>
    </row>
    <row r="246" spans="1:4" x14ac:dyDescent="0.3">
      <c r="A246">
        <v>21213</v>
      </c>
      <c r="B246" t="s">
        <v>993</v>
      </c>
      <c r="C246">
        <v>200</v>
      </c>
      <c r="D246">
        <v>1.2777185058359792E-3</v>
      </c>
    </row>
    <row r="247" spans="1:4" x14ac:dyDescent="0.3">
      <c r="A247">
        <v>21214</v>
      </c>
      <c r="B247" t="s">
        <v>993</v>
      </c>
      <c r="C247">
        <v>150</v>
      </c>
      <c r="D247">
        <v>9.5828887937698449E-4</v>
      </c>
    </row>
    <row r="248" spans="1:4" x14ac:dyDescent="0.3">
      <c r="A248">
        <v>21215</v>
      </c>
      <c r="B248" t="s">
        <v>993</v>
      </c>
      <c r="C248">
        <v>843</v>
      </c>
      <c r="D248">
        <v>5.3855835020986528E-3</v>
      </c>
    </row>
    <row r="249" spans="1:4" x14ac:dyDescent="0.3">
      <c r="A249">
        <v>21216</v>
      </c>
      <c r="B249" t="s">
        <v>993</v>
      </c>
      <c r="C249">
        <v>168</v>
      </c>
      <c r="D249">
        <v>1.0732835449022227E-3</v>
      </c>
    </row>
    <row r="250" spans="1:4" x14ac:dyDescent="0.3">
      <c r="A250">
        <v>21217</v>
      </c>
      <c r="B250" t="s">
        <v>993</v>
      </c>
      <c r="C250">
        <v>325</v>
      </c>
      <c r="D250">
        <v>2.0762925719834662E-3</v>
      </c>
    </row>
    <row r="251" spans="1:4" x14ac:dyDescent="0.3">
      <c r="A251">
        <v>21218</v>
      </c>
      <c r="B251" t="s">
        <v>993</v>
      </c>
      <c r="C251">
        <v>491</v>
      </c>
      <c r="D251">
        <v>3.1367989318273289E-3</v>
      </c>
    </row>
    <row r="252" spans="1:4" x14ac:dyDescent="0.3">
      <c r="A252">
        <v>21219</v>
      </c>
      <c r="B252" t="s">
        <v>992</v>
      </c>
      <c r="C252">
        <v>0</v>
      </c>
      <c r="D252">
        <v>0</v>
      </c>
    </row>
    <row r="253" spans="1:4" x14ac:dyDescent="0.3">
      <c r="A253">
        <v>21220</v>
      </c>
      <c r="B253" t="s">
        <v>992</v>
      </c>
      <c r="C253">
        <v>1233</v>
      </c>
      <c r="D253">
        <v>7.8771345884788117E-3</v>
      </c>
    </row>
    <row r="254" spans="1:4" x14ac:dyDescent="0.3">
      <c r="A254">
        <v>21221</v>
      </c>
      <c r="B254" t="s">
        <v>992</v>
      </c>
      <c r="C254">
        <v>819</v>
      </c>
      <c r="D254">
        <v>5.2322572813983349E-3</v>
      </c>
    </row>
    <row r="255" spans="1:4" x14ac:dyDescent="0.3">
      <c r="A255">
        <v>21222</v>
      </c>
      <c r="B255" t="s">
        <v>992</v>
      </c>
      <c r="C255">
        <v>785</v>
      </c>
      <c r="D255">
        <v>5.0150451354062184E-3</v>
      </c>
    </row>
    <row r="256" spans="1:4" x14ac:dyDescent="0.3">
      <c r="A256">
        <v>21223</v>
      </c>
      <c r="B256" t="s">
        <v>993</v>
      </c>
      <c r="C256">
        <v>523</v>
      </c>
      <c r="D256">
        <v>3.3412338927610859E-3</v>
      </c>
    </row>
    <row r="257" spans="1:4" x14ac:dyDescent="0.3">
      <c r="A257">
        <v>21224</v>
      </c>
      <c r="B257" t="s">
        <v>993</v>
      </c>
      <c r="C257">
        <v>4143</v>
      </c>
      <c r="D257">
        <v>2.6467938848392311E-2</v>
      </c>
    </row>
    <row r="258" spans="1:4" x14ac:dyDescent="0.3">
      <c r="A258">
        <v>21225</v>
      </c>
      <c r="B258" t="s">
        <v>993</v>
      </c>
      <c r="C258">
        <v>897</v>
      </c>
      <c r="D258">
        <v>5.7305674986743672E-3</v>
      </c>
    </row>
    <row r="259" spans="1:4" x14ac:dyDescent="0.3">
      <c r="A259">
        <v>21226</v>
      </c>
      <c r="B259" t="s">
        <v>996</v>
      </c>
      <c r="C259">
        <v>0</v>
      </c>
      <c r="D259">
        <v>0</v>
      </c>
    </row>
    <row r="260" spans="1:4" x14ac:dyDescent="0.3">
      <c r="A260">
        <v>21227</v>
      </c>
      <c r="B260" t="s">
        <v>992</v>
      </c>
      <c r="C260">
        <v>1037</v>
      </c>
      <c r="D260">
        <v>6.6249704527595529E-3</v>
      </c>
    </row>
    <row r="261" spans="1:4" x14ac:dyDescent="0.3">
      <c r="A261">
        <v>21228</v>
      </c>
      <c r="B261" t="s">
        <v>992</v>
      </c>
      <c r="C261">
        <v>770</v>
      </c>
      <c r="D261">
        <v>4.9192162474685202E-3</v>
      </c>
    </row>
    <row r="262" spans="1:4" x14ac:dyDescent="0.3">
      <c r="A262">
        <v>21229</v>
      </c>
      <c r="B262" t="s">
        <v>993</v>
      </c>
      <c r="C262">
        <v>197</v>
      </c>
      <c r="D262">
        <v>1.2585527282484397E-3</v>
      </c>
    </row>
    <row r="263" spans="1:4" x14ac:dyDescent="0.3">
      <c r="A263">
        <v>21230</v>
      </c>
      <c r="B263" t="s">
        <v>993</v>
      </c>
      <c r="C263">
        <v>625</v>
      </c>
      <c r="D263">
        <v>3.9928703307374356E-3</v>
      </c>
    </row>
    <row r="264" spans="1:4" x14ac:dyDescent="0.3">
      <c r="A264">
        <v>21231</v>
      </c>
      <c r="B264" t="s">
        <v>993</v>
      </c>
      <c r="C264">
        <v>337</v>
      </c>
      <c r="D264">
        <v>2.1529556823336252E-3</v>
      </c>
    </row>
    <row r="265" spans="1:4" x14ac:dyDescent="0.3">
      <c r="A265">
        <v>21234</v>
      </c>
      <c r="B265" t="s">
        <v>992</v>
      </c>
      <c r="C265">
        <v>710</v>
      </c>
      <c r="D265">
        <v>4.5359006957177263E-3</v>
      </c>
    </row>
    <row r="266" spans="1:4" x14ac:dyDescent="0.3">
      <c r="A266">
        <v>21236</v>
      </c>
      <c r="B266" t="s">
        <v>992</v>
      </c>
      <c r="C266">
        <v>388</v>
      </c>
      <c r="D266">
        <v>2.4787739013217998E-3</v>
      </c>
    </row>
    <row r="267" spans="1:4" x14ac:dyDescent="0.3">
      <c r="A267">
        <v>21237</v>
      </c>
      <c r="B267" t="s">
        <v>992</v>
      </c>
      <c r="C267">
        <v>1172</v>
      </c>
      <c r="D267">
        <v>7.4874304441988389E-3</v>
      </c>
    </row>
    <row r="268" spans="1:4" x14ac:dyDescent="0.3">
      <c r="A268">
        <v>21239</v>
      </c>
      <c r="B268" t="s">
        <v>993</v>
      </c>
      <c r="C268">
        <v>476</v>
      </c>
      <c r="D268">
        <v>3.0409700438896307E-3</v>
      </c>
    </row>
    <row r="269" spans="1:4" x14ac:dyDescent="0.3">
      <c r="A269">
        <v>21240</v>
      </c>
      <c r="B269" t="s">
        <v>996</v>
      </c>
      <c r="C269">
        <v>0</v>
      </c>
      <c r="D269">
        <v>0</v>
      </c>
    </row>
    <row r="270" spans="1:4" x14ac:dyDescent="0.3">
      <c r="A270">
        <v>21244</v>
      </c>
      <c r="B270" t="s">
        <v>992</v>
      </c>
      <c r="C270">
        <v>1117</v>
      </c>
      <c r="D270">
        <v>7.1360578550939439E-3</v>
      </c>
    </row>
    <row r="271" spans="1:4" x14ac:dyDescent="0.3">
      <c r="A271">
        <v>21250</v>
      </c>
      <c r="B271" t="s">
        <v>992</v>
      </c>
      <c r="C271">
        <v>6</v>
      </c>
      <c r="D271">
        <v>3.833155517507938E-5</v>
      </c>
    </row>
    <row r="272" spans="1:4" x14ac:dyDescent="0.3">
      <c r="A272">
        <v>21251</v>
      </c>
      <c r="B272" t="s">
        <v>993</v>
      </c>
      <c r="C272">
        <v>2</v>
      </c>
      <c r="D272">
        <v>1.2777185058359793E-5</v>
      </c>
    </row>
    <row r="273" spans="1:4" x14ac:dyDescent="0.3">
      <c r="A273">
        <v>21252</v>
      </c>
      <c r="B273" t="s">
        <v>992</v>
      </c>
      <c r="C273">
        <v>8</v>
      </c>
      <c r="D273">
        <v>5.1108740233439174E-5</v>
      </c>
    </row>
    <row r="274" spans="1:4" x14ac:dyDescent="0.3">
      <c r="A274">
        <v>21286</v>
      </c>
      <c r="B274" t="s">
        <v>992</v>
      </c>
      <c r="C274">
        <v>185</v>
      </c>
      <c r="D274">
        <v>1.1818896178982809E-3</v>
      </c>
    </row>
    <row r="275" spans="1:4" x14ac:dyDescent="0.3">
      <c r="A275">
        <v>21401</v>
      </c>
      <c r="B275" t="s">
        <v>996</v>
      </c>
      <c r="C275">
        <v>920</v>
      </c>
      <c r="D275">
        <v>5.8775051268455045E-3</v>
      </c>
    </row>
    <row r="276" spans="1:4" x14ac:dyDescent="0.3">
      <c r="A276">
        <v>21402</v>
      </c>
      <c r="B276" t="s">
        <v>996</v>
      </c>
      <c r="C276">
        <v>5</v>
      </c>
      <c r="D276">
        <v>3.1942962645899483E-5</v>
      </c>
    </row>
    <row r="277" spans="1:4" x14ac:dyDescent="0.3">
      <c r="A277">
        <v>21403</v>
      </c>
      <c r="B277" t="s">
        <v>996</v>
      </c>
      <c r="C277">
        <v>1830</v>
      </c>
      <c r="D277">
        <v>1.169112432839921E-2</v>
      </c>
    </row>
    <row r="278" spans="1:4" x14ac:dyDescent="0.3">
      <c r="A278">
        <v>21405</v>
      </c>
      <c r="B278" t="s">
        <v>996</v>
      </c>
      <c r="C278">
        <v>0</v>
      </c>
      <c r="D278">
        <v>0</v>
      </c>
    </row>
    <row r="279" spans="1:4" x14ac:dyDescent="0.3">
      <c r="A279">
        <v>21409</v>
      </c>
      <c r="B279" t="s">
        <v>996</v>
      </c>
      <c r="C279">
        <v>126</v>
      </c>
      <c r="D279">
        <v>8.0496265867666692E-4</v>
      </c>
    </row>
    <row r="280" spans="1:4" x14ac:dyDescent="0.3">
      <c r="A280">
        <v>21502</v>
      </c>
      <c r="B280" t="s">
        <v>1032</v>
      </c>
      <c r="C280">
        <v>75</v>
      </c>
      <c r="D280">
        <v>4.7914443968849225E-4</v>
      </c>
    </row>
    <row r="281" spans="1:4" x14ac:dyDescent="0.3">
      <c r="A281">
        <v>21520</v>
      </c>
      <c r="B281" t="s">
        <v>1064</v>
      </c>
      <c r="C281">
        <v>0</v>
      </c>
      <c r="D281">
        <v>0</v>
      </c>
    </row>
    <row r="282" spans="1:4" x14ac:dyDescent="0.3">
      <c r="A282">
        <v>21521</v>
      </c>
      <c r="B282" t="s">
        <v>1032</v>
      </c>
      <c r="C282">
        <v>0</v>
      </c>
      <c r="D282">
        <v>0</v>
      </c>
    </row>
    <row r="283" spans="1:4" x14ac:dyDescent="0.3">
      <c r="A283">
        <v>21522</v>
      </c>
      <c r="B283" t="s">
        <v>1064</v>
      </c>
      <c r="C283">
        <v>0</v>
      </c>
      <c r="D283">
        <v>0</v>
      </c>
    </row>
    <row r="284" spans="1:4" x14ac:dyDescent="0.3">
      <c r="A284">
        <v>21523</v>
      </c>
      <c r="B284" t="s">
        <v>1064</v>
      </c>
      <c r="C284">
        <v>0</v>
      </c>
      <c r="D284">
        <v>0</v>
      </c>
    </row>
    <row r="285" spans="1:4" x14ac:dyDescent="0.3">
      <c r="A285">
        <v>21524</v>
      </c>
      <c r="B285" t="s">
        <v>1032</v>
      </c>
      <c r="C285">
        <v>0</v>
      </c>
      <c r="D285">
        <v>0</v>
      </c>
    </row>
    <row r="286" spans="1:4" x14ac:dyDescent="0.3">
      <c r="A286">
        <v>21529</v>
      </c>
      <c r="B286" t="s">
        <v>1032</v>
      </c>
      <c r="C286">
        <v>0</v>
      </c>
      <c r="D286">
        <v>0</v>
      </c>
    </row>
    <row r="287" spans="1:4" x14ac:dyDescent="0.3">
      <c r="A287">
        <v>21530</v>
      </c>
      <c r="B287" t="s">
        <v>1032</v>
      </c>
      <c r="C287">
        <v>25</v>
      </c>
      <c r="D287">
        <v>1.597148132294974E-4</v>
      </c>
    </row>
    <row r="288" spans="1:4" x14ac:dyDescent="0.3">
      <c r="A288">
        <v>21531</v>
      </c>
      <c r="B288" t="s">
        <v>1064</v>
      </c>
      <c r="C288">
        <v>10</v>
      </c>
      <c r="D288">
        <v>6.3885925291798967E-5</v>
      </c>
    </row>
    <row r="289" spans="1:4" x14ac:dyDescent="0.3">
      <c r="A289">
        <v>21532</v>
      </c>
      <c r="B289" t="s">
        <v>1032</v>
      </c>
      <c r="C289">
        <v>21</v>
      </c>
      <c r="D289">
        <v>1.3416044311277784E-4</v>
      </c>
    </row>
    <row r="290" spans="1:4" x14ac:dyDescent="0.3">
      <c r="A290">
        <v>21536</v>
      </c>
      <c r="B290" t="s">
        <v>1064</v>
      </c>
      <c r="C290">
        <v>0</v>
      </c>
      <c r="D290">
        <v>0</v>
      </c>
    </row>
    <row r="291" spans="1:4" x14ac:dyDescent="0.3">
      <c r="A291">
        <v>21538</v>
      </c>
      <c r="B291" t="s">
        <v>1064</v>
      </c>
      <c r="C291">
        <v>0</v>
      </c>
      <c r="D291">
        <v>0</v>
      </c>
    </row>
    <row r="292" spans="1:4" x14ac:dyDescent="0.3">
      <c r="A292">
        <v>21539</v>
      </c>
      <c r="B292" t="s">
        <v>1032</v>
      </c>
      <c r="C292">
        <v>0</v>
      </c>
      <c r="D292">
        <v>0</v>
      </c>
    </row>
    <row r="293" spans="1:4" x14ac:dyDescent="0.3">
      <c r="A293">
        <v>21540</v>
      </c>
      <c r="B293" t="s">
        <v>1032</v>
      </c>
      <c r="C293">
        <v>1</v>
      </c>
      <c r="D293">
        <v>6.3885925291798967E-6</v>
      </c>
    </row>
    <row r="294" spans="1:4" x14ac:dyDescent="0.3">
      <c r="A294">
        <v>21541</v>
      </c>
      <c r="B294" t="s">
        <v>1064</v>
      </c>
      <c r="C294">
        <v>0</v>
      </c>
      <c r="D294">
        <v>0</v>
      </c>
    </row>
    <row r="295" spans="1:4" x14ac:dyDescent="0.3">
      <c r="A295">
        <v>21542</v>
      </c>
      <c r="B295" t="s">
        <v>1032</v>
      </c>
      <c r="C295">
        <v>0</v>
      </c>
      <c r="D295">
        <v>0</v>
      </c>
    </row>
    <row r="296" spans="1:4" x14ac:dyDescent="0.3">
      <c r="A296">
        <v>21543</v>
      </c>
      <c r="B296" t="s">
        <v>1032</v>
      </c>
      <c r="C296">
        <v>0</v>
      </c>
      <c r="D296">
        <v>0</v>
      </c>
    </row>
    <row r="297" spans="1:4" x14ac:dyDescent="0.3">
      <c r="A297">
        <v>21545</v>
      </c>
      <c r="B297" t="s">
        <v>1032</v>
      </c>
      <c r="C297">
        <v>0</v>
      </c>
      <c r="D297">
        <v>0</v>
      </c>
    </row>
    <row r="298" spans="1:4" x14ac:dyDescent="0.3">
      <c r="A298">
        <v>21550</v>
      </c>
      <c r="B298" t="s">
        <v>1064</v>
      </c>
      <c r="C298">
        <v>0</v>
      </c>
      <c r="D298">
        <v>0</v>
      </c>
    </row>
    <row r="299" spans="1:4" x14ac:dyDescent="0.3">
      <c r="A299">
        <v>21555</v>
      </c>
      <c r="B299" t="s">
        <v>1032</v>
      </c>
      <c r="C299">
        <v>0</v>
      </c>
      <c r="D299">
        <v>0</v>
      </c>
    </row>
    <row r="300" spans="1:4" x14ac:dyDescent="0.3">
      <c r="A300">
        <v>21557</v>
      </c>
      <c r="B300" t="s">
        <v>1032</v>
      </c>
      <c r="C300">
        <v>0</v>
      </c>
      <c r="D300">
        <v>0</v>
      </c>
    </row>
    <row r="301" spans="1:4" x14ac:dyDescent="0.3">
      <c r="A301">
        <v>21561</v>
      </c>
      <c r="B301" t="s">
        <v>1064</v>
      </c>
      <c r="C301">
        <v>0</v>
      </c>
      <c r="D301">
        <v>0</v>
      </c>
    </row>
    <row r="302" spans="1:4" x14ac:dyDescent="0.3">
      <c r="A302">
        <v>21562</v>
      </c>
      <c r="B302" t="s">
        <v>1032</v>
      </c>
      <c r="C302">
        <v>0</v>
      </c>
      <c r="D302">
        <v>0</v>
      </c>
    </row>
    <row r="303" spans="1:4" x14ac:dyDescent="0.3">
      <c r="A303">
        <v>21601</v>
      </c>
      <c r="B303" t="s">
        <v>1057</v>
      </c>
      <c r="C303">
        <v>478</v>
      </c>
      <c r="D303">
        <v>3.0537472289479907E-3</v>
      </c>
    </row>
    <row r="304" spans="1:4" x14ac:dyDescent="0.3">
      <c r="A304">
        <v>21607</v>
      </c>
      <c r="B304" t="s">
        <v>1141</v>
      </c>
      <c r="C304">
        <v>84</v>
      </c>
      <c r="D304">
        <v>5.3664177245111135E-4</v>
      </c>
    </row>
    <row r="305" spans="1:4" x14ac:dyDescent="0.3">
      <c r="A305">
        <v>21610</v>
      </c>
      <c r="B305" t="s">
        <v>1131</v>
      </c>
      <c r="C305">
        <v>0</v>
      </c>
      <c r="D305">
        <v>0</v>
      </c>
    </row>
    <row r="306" spans="1:4" x14ac:dyDescent="0.3">
      <c r="A306">
        <v>21612</v>
      </c>
      <c r="B306" t="s">
        <v>1057</v>
      </c>
      <c r="C306">
        <v>0</v>
      </c>
      <c r="D306">
        <v>0</v>
      </c>
    </row>
    <row r="307" spans="1:4" x14ac:dyDescent="0.3">
      <c r="A307">
        <v>21613</v>
      </c>
      <c r="B307" t="s">
        <v>1097</v>
      </c>
      <c r="C307">
        <v>150</v>
      </c>
      <c r="D307">
        <v>9.5828887937698449E-4</v>
      </c>
    </row>
    <row r="308" spans="1:4" x14ac:dyDescent="0.3">
      <c r="A308">
        <v>21617</v>
      </c>
      <c r="B308" t="s">
        <v>1141</v>
      </c>
      <c r="C308">
        <v>29</v>
      </c>
      <c r="D308">
        <v>1.8526918334621698E-4</v>
      </c>
    </row>
    <row r="309" spans="1:4" x14ac:dyDescent="0.3">
      <c r="A309">
        <v>21619</v>
      </c>
      <c r="B309" t="s">
        <v>1141</v>
      </c>
      <c r="C309">
        <v>65</v>
      </c>
      <c r="D309">
        <v>4.1525851439669326E-4</v>
      </c>
    </row>
    <row r="310" spans="1:4" x14ac:dyDescent="0.3">
      <c r="A310">
        <v>21620</v>
      </c>
      <c r="B310" t="s">
        <v>1131</v>
      </c>
      <c r="C310">
        <v>7</v>
      </c>
      <c r="D310">
        <v>4.4720147704259277E-5</v>
      </c>
    </row>
    <row r="311" spans="1:4" x14ac:dyDescent="0.3">
      <c r="A311">
        <v>21622</v>
      </c>
      <c r="B311" t="s">
        <v>1097</v>
      </c>
      <c r="C311">
        <v>0</v>
      </c>
      <c r="D311">
        <v>0</v>
      </c>
    </row>
    <row r="312" spans="1:4" x14ac:dyDescent="0.3">
      <c r="A312">
        <v>21623</v>
      </c>
      <c r="B312" t="s">
        <v>1141</v>
      </c>
      <c r="C312">
        <v>24</v>
      </c>
      <c r="D312">
        <v>1.5332622070031752E-4</v>
      </c>
    </row>
    <row r="313" spans="1:4" x14ac:dyDescent="0.3">
      <c r="A313">
        <v>21624</v>
      </c>
      <c r="B313" t="s">
        <v>1057</v>
      </c>
      <c r="C313">
        <v>0</v>
      </c>
      <c r="D313">
        <v>0</v>
      </c>
    </row>
    <row r="314" spans="1:4" x14ac:dyDescent="0.3">
      <c r="A314">
        <v>21625</v>
      </c>
      <c r="B314" t="s">
        <v>1057</v>
      </c>
      <c r="C314">
        <v>0</v>
      </c>
      <c r="D314">
        <v>0</v>
      </c>
    </row>
    <row r="315" spans="1:4" x14ac:dyDescent="0.3">
      <c r="A315">
        <v>21626</v>
      </c>
      <c r="B315" t="s">
        <v>1097</v>
      </c>
      <c r="C315">
        <v>0</v>
      </c>
      <c r="D315">
        <v>0</v>
      </c>
    </row>
    <row r="316" spans="1:4" x14ac:dyDescent="0.3">
      <c r="A316">
        <v>21627</v>
      </c>
      <c r="B316" t="s">
        <v>1097</v>
      </c>
      <c r="C316">
        <v>0</v>
      </c>
      <c r="D316">
        <v>0</v>
      </c>
    </row>
    <row r="317" spans="1:4" x14ac:dyDescent="0.3">
      <c r="A317">
        <v>21628</v>
      </c>
      <c r="B317" t="s">
        <v>1141</v>
      </c>
      <c r="C317">
        <v>0</v>
      </c>
      <c r="D317">
        <v>0</v>
      </c>
    </row>
    <row r="318" spans="1:4" x14ac:dyDescent="0.3">
      <c r="A318">
        <v>21629</v>
      </c>
      <c r="B318" t="s">
        <v>1095</v>
      </c>
      <c r="C318">
        <v>15</v>
      </c>
      <c r="D318">
        <v>9.5828887937698444E-5</v>
      </c>
    </row>
    <row r="319" spans="1:4" x14ac:dyDescent="0.3">
      <c r="A319">
        <v>21631</v>
      </c>
      <c r="B319" t="s">
        <v>1097</v>
      </c>
      <c r="C319">
        <v>2</v>
      </c>
      <c r="D319">
        <v>1.2777185058359793E-5</v>
      </c>
    </row>
    <row r="320" spans="1:4" x14ac:dyDescent="0.3">
      <c r="A320">
        <v>21632</v>
      </c>
      <c r="B320" t="s">
        <v>1095</v>
      </c>
      <c r="C320">
        <v>19</v>
      </c>
      <c r="D320">
        <v>1.2138325805441803E-4</v>
      </c>
    </row>
    <row r="321" spans="1:4" x14ac:dyDescent="0.3">
      <c r="A321">
        <v>21634</v>
      </c>
      <c r="B321" t="s">
        <v>1097</v>
      </c>
      <c r="C321">
        <v>0</v>
      </c>
      <c r="D321">
        <v>0</v>
      </c>
    </row>
    <row r="322" spans="1:4" x14ac:dyDescent="0.3">
      <c r="A322">
        <v>21635</v>
      </c>
      <c r="B322" t="s">
        <v>1131</v>
      </c>
      <c r="C322">
        <v>0</v>
      </c>
      <c r="D322">
        <v>0</v>
      </c>
    </row>
    <row r="323" spans="1:4" x14ac:dyDescent="0.3">
      <c r="A323">
        <v>21636</v>
      </c>
      <c r="B323" t="s">
        <v>1095</v>
      </c>
      <c r="C323">
        <v>11</v>
      </c>
      <c r="D323">
        <v>7.0274517820978857E-5</v>
      </c>
    </row>
    <row r="324" spans="1:4" x14ac:dyDescent="0.3">
      <c r="A324">
        <v>21638</v>
      </c>
      <c r="B324" t="s">
        <v>1141</v>
      </c>
      <c r="C324">
        <v>18</v>
      </c>
      <c r="D324">
        <v>1.1499466552523814E-4</v>
      </c>
    </row>
    <row r="325" spans="1:4" x14ac:dyDescent="0.3">
      <c r="A325">
        <v>21639</v>
      </c>
      <c r="B325" t="s">
        <v>1095</v>
      </c>
      <c r="C325">
        <v>22</v>
      </c>
      <c r="D325">
        <v>1.4054903564195771E-4</v>
      </c>
    </row>
    <row r="326" spans="1:4" x14ac:dyDescent="0.3">
      <c r="A326">
        <v>21640</v>
      </c>
      <c r="B326" t="s">
        <v>1095</v>
      </c>
      <c r="C326">
        <v>46</v>
      </c>
      <c r="D326">
        <v>2.9387525634227523E-4</v>
      </c>
    </row>
    <row r="327" spans="1:4" x14ac:dyDescent="0.3">
      <c r="A327">
        <v>21641</v>
      </c>
      <c r="B327" t="s">
        <v>1095</v>
      </c>
      <c r="C327">
        <v>0</v>
      </c>
      <c r="D327">
        <v>0</v>
      </c>
    </row>
    <row r="328" spans="1:4" x14ac:dyDescent="0.3">
      <c r="A328">
        <v>21643</v>
      </c>
      <c r="B328" t="s">
        <v>1097</v>
      </c>
      <c r="C328">
        <v>76</v>
      </c>
      <c r="D328">
        <v>4.8553303221767212E-4</v>
      </c>
    </row>
    <row r="329" spans="1:4" x14ac:dyDescent="0.3">
      <c r="A329">
        <v>21644</v>
      </c>
      <c r="B329" t="s">
        <v>1141</v>
      </c>
      <c r="C329">
        <v>0</v>
      </c>
      <c r="D329">
        <v>0</v>
      </c>
    </row>
    <row r="330" spans="1:4" x14ac:dyDescent="0.3">
      <c r="A330">
        <v>21645</v>
      </c>
      <c r="B330" t="s">
        <v>1131</v>
      </c>
      <c r="C330">
        <v>46</v>
      </c>
      <c r="D330">
        <v>2.9387525634227523E-4</v>
      </c>
    </row>
    <row r="331" spans="1:4" x14ac:dyDescent="0.3">
      <c r="A331">
        <v>21647</v>
      </c>
      <c r="B331" t="s">
        <v>1057</v>
      </c>
      <c r="C331">
        <v>0</v>
      </c>
      <c r="D331">
        <v>0</v>
      </c>
    </row>
    <row r="332" spans="1:4" x14ac:dyDescent="0.3">
      <c r="A332">
        <v>21648</v>
      </c>
      <c r="B332" t="s">
        <v>1097</v>
      </c>
      <c r="C332">
        <v>0</v>
      </c>
      <c r="D332">
        <v>0</v>
      </c>
    </row>
    <row r="333" spans="1:4" x14ac:dyDescent="0.3">
      <c r="A333">
        <v>21649</v>
      </c>
      <c r="B333" t="s">
        <v>1095</v>
      </c>
      <c r="C333">
        <v>440</v>
      </c>
      <c r="D333">
        <v>2.8109807128391543E-3</v>
      </c>
    </row>
    <row r="334" spans="1:4" x14ac:dyDescent="0.3">
      <c r="A334">
        <v>21650</v>
      </c>
      <c r="B334" t="s">
        <v>1131</v>
      </c>
      <c r="C334">
        <v>0</v>
      </c>
      <c r="D334">
        <v>0</v>
      </c>
    </row>
    <row r="335" spans="1:4" x14ac:dyDescent="0.3">
      <c r="A335">
        <v>21651</v>
      </c>
      <c r="B335" t="s">
        <v>1131</v>
      </c>
      <c r="C335">
        <v>183</v>
      </c>
      <c r="D335">
        <v>1.169112432839921E-3</v>
      </c>
    </row>
    <row r="336" spans="1:4" x14ac:dyDescent="0.3">
      <c r="A336">
        <v>21652</v>
      </c>
      <c r="B336" t="s">
        <v>1057</v>
      </c>
      <c r="C336">
        <v>0</v>
      </c>
      <c r="D336">
        <v>0</v>
      </c>
    </row>
    <row r="337" spans="1:4" x14ac:dyDescent="0.3">
      <c r="A337">
        <v>21653</v>
      </c>
      <c r="B337" t="s">
        <v>1057</v>
      </c>
      <c r="C337">
        <v>0</v>
      </c>
      <c r="D337">
        <v>0</v>
      </c>
    </row>
    <row r="338" spans="1:4" x14ac:dyDescent="0.3">
      <c r="A338">
        <v>21654</v>
      </c>
      <c r="B338" t="s">
        <v>1057</v>
      </c>
      <c r="C338">
        <v>0</v>
      </c>
      <c r="D338">
        <v>0</v>
      </c>
    </row>
    <row r="339" spans="1:4" x14ac:dyDescent="0.3">
      <c r="A339">
        <v>21655</v>
      </c>
      <c r="B339" t="s">
        <v>1095</v>
      </c>
      <c r="C339">
        <v>10</v>
      </c>
      <c r="D339">
        <v>6.3885925291798967E-5</v>
      </c>
    </row>
    <row r="340" spans="1:4" x14ac:dyDescent="0.3">
      <c r="A340">
        <v>21657</v>
      </c>
      <c r="B340" t="s">
        <v>1141</v>
      </c>
      <c r="C340">
        <v>0</v>
      </c>
      <c r="D340">
        <v>0</v>
      </c>
    </row>
    <row r="341" spans="1:4" x14ac:dyDescent="0.3">
      <c r="A341">
        <v>21658</v>
      </c>
      <c r="B341" t="s">
        <v>1141</v>
      </c>
      <c r="C341">
        <v>147</v>
      </c>
      <c r="D341">
        <v>9.3912310178944475E-4</v>
      </c>
    </row>
    <row r="342" spans="1:4" x14ac:dyDescent="0.3">
      <c r="A342">
        <v>21659</v>
      </c>
      <c r="B342" t="s">
        <v>1097</v>
      </c>
      <c r="C342">
        <v>0</v>
      </c>
      <c r="D342">
        <v>0</v>
      </c>
    </row>
    <row r="343" spans="1:4" x14ac:dyDescent="0.3">
      <c r="A343">
        <v>21660</v>
      </c>
      <c r="B343" t="s">
        <v>1095</v>
      </c>
      <c r="C343">
        <v>16</v>
      </c>
      <c r="D343">
        <v>1.0221748046687835E-4</v>
      </c>
    </row>
    <row r="344" spans="1:4" x14ac:dyDescent="0.3">
      <c r="A344">
        <v>21661</v>
      </c>
      <c r="B344" t="s">
        <v>1131</v>
      </c>
      <c r="C344">
        <v>0</v>
      </c>
      <c r="D344">
        <v>0</v>
      </c>
    </row>
    <row r="345" spans="1:4" x14ac:dyDescent="0.3">
      <c r="A345">
        <v>21662</v>
      </c>
      <c r="B345" t="s">
        <v>1057</v>
      </c>
      <c r="C345">
        <v>0</v>
      </c>
      <c r="D345">
        <v>0</v>
      </c>
    </row>
    <row r="346" spans="1:4" x14ac:dyDescent="0.3">
      <c r="A346">
        <v>21663</v>
      </c>
      <c r="B346" t="s">
        <v>1057</v>
      </c>
      <c r="C346">
        <v>10</v>
      </c>
      <c r="D346">
        <v>6.3885925291798967E-5</v>
      </c>
    </row>
    <row r="347" spans="1:4" x14ac:dyDescent="0.3">
      <c r="A347">
        <v>21664</v>
      </c>
      <c r="B347" t="s">
        <v>1097</v>
      </c>
      <c r="C347">
        <v>38</v>
      </c>
      <c r="D347">
        <v>2.4276651610883606E-4</v>
      </c>
    </row>
    <row r="348" spans="1:4" x14ac:dyDescent="0.3">
      <c r="A348">
        <v>21665</v>
      </c>
      <c r="B348" t="s">
        <v>1057</v>
      </c>
      <c r="C348">
        <v>0</v>
      </c>
      <c r="D348">
        <v>0</v>
      </c>
    </row>
    <row r="349" spans="1:4" x14ac:dyDescent="0.3">
      <c r="A349">
        <v>21666</v>
      </c>
      <c r="B349" t="s">
        <v>1141</v>
      </c>
      <c r="C349">
        <v>50</v>
      </c>
      <c r="D349">
        <v>3.1942962645899479E-4</v>
      </c>
    </row>
    <row r="350" spans="1:4" x14ac:dyDescent="0.3">
      <c r="A350">
        <v>21667</v>
      </c>
      <c r="B350" t="s">
        <v>1131</v>
      </c>
      <c r="C350">
        <v>0</v>
      </c>
      <c r="D350">
        <v>0</v>
      </c>
    </row>
    <row r="351" spans="1:4" x14ac:dyDescent="0.3">
      <c r="A351">
        <v>21668</v>
      </c>
      <c r="B351" t="s">
        <v>1141</v>
      </c>
      <c r="C351">
        <v>6</v>
      </c>
      <c r="D351">
        <v>3.833155517507938E-5</v>
      </c>
    </row>
    <row r="352" spans="1:4" x14ac:dyDescent="0.3">
      <c r="A352">
        <v>21669</v>
      </c>
      <c r="B352" t="s">
        <v>1097</v>
      </c>
      <c r="C352">
        <v>0</v>
      </c>
      <c r="D352">
        <v>0</v>
      </c>
    </row>
    <row r="353" spans="1:4" x14ac:dyDescent="0.3">
      <c r="A353">
        <v>21671</v>
      </c>
      <c r="B353" t="s">
        <v>1057</v>
      </c>
      <c r="C353">
        <v>0</v>
      </c>
      <c r="D353">
        <v>0</v>
      </c>
    </row>
    <row r="354" spans="1:4" x14ac:dyDescent="0.3">
      <c r="A354">
        <v>21672</v>
      </c>
      <c r="B354" t="s">
        <v>1097</v>
      </c>
      <c r="C354">
        <v>0</v>
      </c>
      <c r="D354">
        <v>0</v>
      </c>
    </row>
    <row r="355" spans="1:4" x14ac:dyDescent="0.3">
      <c r="A355">
        <v>21673</v>
      </c>
      <c r="B355" t="s">
        <v>1057</v>
      </c>
      <c r="C355">
        <v>56</v>
      </c>
      <c r="D355">
        <v>3.5776118163407421E-4</v>
      </c>
    </row>
    <row r="356" spans="1:4" x14ac:dyDescent="0.3">
      <c r="A356">
        <v>21675</v>
      </c>
      <c r="B356" t="s">
        <v>1097</v>
      </c>
      <c r="C356">
        <v>0</v>
      </c>
      <c r="D356">
        <v>0</v>
      </c>
    </row>
    <row r="357" spans="1:4" x14ac:dyDescent="0.3">
      <c r="A357">
        <v>21676</v>
      </c>
      <c r="B357" t="s">
        <v>1057</v>
      </c>
      <c r="C357">
        <v>0</v>
      </c>
      <c r="D357">
        <v>0</v>
      </c>
    </row>
    <row r="358" spans="1:4" x14ac:dyDescent="0.3">
      <c r="A358">
        <v>21677</v>
      </c>
      <c r="B358" t="s">
        <v>1097</v>
      </c>
      <c r="C358">
        <v>0</v>
      </c>
      <c r="D358">
        <v>0</v>
      </c>
    </row>
    <row r="359" spans="1:4" x14ac:dyDescent="0.3">
      <c r="A359">
        <v>21678</v>
      </c>
      <c r="B359" t="s">
        <v>1131</v>
      </c>
      <c r="C359">
        <v>36</v>
      </c>
      <c r="D359">
        <v>2.2998933105047628E-4</v>
      </c>
    </row>
    <row r="360" spans="1:4" x14ac:dyDescent="0.3">
      <c r="A360">
        <v>21679</v>
      </c>
      <c r="B360" t="s">
        <v>1057</v>
      </c>
      <c r="C360">
        <v>0</v>
      </c>
      <c r="D360">
        <v>0</v>
      </c>
    </row>
    <row r="361" spans="1:4" x14ac:dyDescent="0.3">
      <c r="A361">
        <v>21701</v>
      </c>
      <c r="B361" t="s">
        <v>1027</v>
      </c>
      <c r="C361">
        <v>480</v>
      </c>
      <c r="D361">
        <v>3.0665244140063502E-3</v>
      </c>
    </row>
    <row r="362" spans="1:4" x14ac:dyDescent="0.3">
      <c r="A362">
        <v>21702</v>
      </c>
      <c r="B362" t="s">
        <v>1027</v>
      </c>
      <c r="C362">
        <v>1129</v>
      </c>
      <c r="D362">
        <v>7.2127209654441029E-3</v>
      </c>
    </row>
    <row r="363" spans="1:4" x14ac:dyDescent="0.3">
      <c r="A363">
        <v>21703</v>
      </c>
      <c r="B363" t="s">
        <v>1027</v>
      </c>
      <c r="C363">
        <v>1013</v>
      </c>
      <c r="D363">
        <v>6.471644232059235E-3</v>
      </c>
    </row>
    <row r="364" spans="1:4" x14ac:dyDescent="0.3">
      <c r="A364">
        <v>21704</v>
      </c>
      <c r="B364" t="s">
        <v>1027</v>
      </c>
      <c r="C364">
        <v>288</v>
      </c>
      <c r="D364">
        <v>1.8399146484038102E-3</v>
      </c>
    </row>
    <row r="365" spans="1:4" x14ac:dyDescent="0.3">
      <c r="A365">
        <v>21705</v>
      </c>
      <c r="B365" t="s">
        <v>1027</v>
      </c>
      <c r="C365">
        <v>0</v>
      </c>
      <c r="D365">
        <v>0</v>
      </c>
    </row>
    <row r="366" spans="1:4" x14ac:dyDescent="0.3">
      <c r="A366">
        <v>21710</v>
      </c>
      <c r="B366" t="s">
        <v>1027</v>
      </c>
      <c r="C366">
        <v>33</v>
      </c>
      <c r="D366">
        <v>2.1082355346293657E-4</v>
      </c>
    </row>
    <row r="367" spans="1:4" x14ac:dyDescent="0.3">
      <c r="A367">
        <v>21711</v>
      </c>
      <c r="B367" t="s">
        <v>999</v>
      </c>
      <c r="C367">
        <v>0</v>
      </c>
      <c r="D367">
        <v>0</v>
      </c>
    </row>
    <row r="368" spans="1:4" x14ac:dyDescent="0.3">
      <c r="A368">
        <v>21713</v>
      </c>
      <c r="B368" t="s">
        <v>999</v>
      </c>
      <c r="C368">
        <v>35</v>
      </c>
      <c r="D368">
        <v>2.2360073852129638E-4</v>
      </c>
    </row>
    <row r="369" spans="1:4" x14ac:dyDescent="0.3">
      <c r="A369">
        <v>21714</v>
      </c>
      <c r="B369" t="s">
        <v>1027</v>
      </c>
      <c r="C369">
        <v>0</v>
      </c>
      <c r="D369">
        <v>0</v>
      </c>
    </row>
    <row r="370" spans="1:4" x14ac:dyDescent="0.3">
      <c r="A370">
        <v>21716</v>
      </c>
      <c r="B370" t="s">
        <v>1027</v>
      </c>
      <c r="C370">
        <v>0</v>
      </c>
      <c r="D370">
        <v>0</v>
      </c>
    </row>
    <row r="371" spans="1:4" x14ac:dyDescent="0.3">
      <c r="A371">
        <v>21717</v>
      </c>
      <c r="B371" t="s">
        <v>1027</v>
      </c>
      <c r="C371">
        <v>0</v>
      </c>
      <c r="D371">
        <v>0</v>
      </c>
    </row>
    <row r="372" spans="1:4" x14ac:dyDescent="0.3">
      <c r="A372">
        <v>21718</v>
      </c>
      <c r="B372" t="s">
        <v>1027</v>
      </c>
      <c r="C372">
        <v>0</v>
      </c>
      <c r="D372">
        <v>0</v>
      </c>
    </row>
    <row r="373" spans="1:4" x14ac:dyDescent="0.3">
      <c r="A373">
        <v>21719</v>
      </c>
      <c r="B373" t="s">
        <v>999</v>
      </c>
      <c r="C373">
        <v>0</v>
      </c>
      <c r="D373">
        <v>0</v>
      </c>
    </row>
    <row r="374" spans="1:4" x14ac:dyDescent="0.3">
      <c r="A374">
        <v>21722</v>
      </c>
      <c r="B374" t="s">
        <v>999</v>
      </c>
      <c r="C374">
        <v>6</v>
      </c>
      <c r="D374">
        <v>3.833155517507938E-5</v>
      </c>
    </row>
    <row r="375" spans="1:4" x14ac:dyDescent="0.3">
      <c r="A375">
        <v>21723</v>
      </c>
      <c r="B375" t="s">
        <v>1038</v>
      </c>
      <c r="C375">
        <v>0</v>
      </c>
      <c r="D375">
        <v>0</v>
      </c>
    </row>
    <row r="376" spans="1:4" x14ac:dyDescent="0.3">
      <c r="A376">
        <v>21727</v>
      </c>
      <c r="B376" t="s">
        <v>1027</v>
      </c>
      <c r="C376">
        <v>20</v>
      </c>
      <c r="D376">
        <v>1.2777185058359793E-4</v>
      </c>
    </row>
    <row r="377" spans="1:4" x14ac:dyDescent="0.3">
      <c r="A377">
        <v>21733</v>
      </c>
      <c r="B377" t="s">
        <v>999</v>
      </c>
      <c r="C377">
        <v>0</v>
      </c>
      <c r="D377">
        <v>0</v>
      </c>
    </row>
    <row r="378" spans="1:4" x14ac:dyDescent="0.3">
      <c r="A378">
        <v>21734</v>
      </c>
      <c r="B378" t="s">
        <v>999</v>
      </c>
      <c r="C378">
        <v>4</v>
      </c>
      <c r="D378">
        <v>2.5554370116719587E-5</v>
      </c>
    </row>
    <row r="379" spans="1:4" x14ac:dyDescent="0.3">
      <c r="A379">
        <v>21737</v>
      </c>
      <c r="B379" t="s">
        <v>1038</v>
      </c>
      <c r="C379">
        <v>1</v>
      </c>
      <c r="D379">
        <v>6.3885925291798967E-6</v>
      </c>
    </row>
    <row r="380" spans="1:4" x14ac:dyDescent="0.3">
      <c r="A380">
        <v>21738</v>
      </c>
      <c r="B380" t="s">
        <v>1038</v>
      </c>
      <c r="C380">
        <v>0</v>
      </c>
      <c r="D380">
        <v>0</v>
      </c>
    </row>
    <row r="381" spans="1:4" x14ac:dyDescent="0.3">
      <c r="A381">
        <v>21740</v>
      </c>
      <c r="B381" t="s">
        <v>999</v>
      </c>
      <c r="C381">
        <v>504</v>
      </c>
      <c r="D381">
        <v>3.2198506347066677E-3</v>
      </c>
    </row>
    <row r="382" spans="1:4" x14ac:dyDescent="0.3">
      <c r="A382">
        <v>21742</v>
      </c>
      <c r="B382" t="s">
        <v>999</v>
      </c>
      <c r="C382">
        <v>262</v>
      </c>
      <c r="D382">
        <v>1.6738112426451328E-3</v>
      </c>
    </row>
    <row r="383" spans="1:4" x14ac:dyDescent="0.3">
      <c r="A383">
        <v>21746</v>
      </c>
      <c r="B383" t="s">
        <v>999</v>
      </c>
      <c r="C383">
        <v>0</v>
      </c>
      <c r="D383">
        <v>0</v>
      </c>
    </row>
    <row r="384" spans="1:4" x14ac:dyDescent="0.3">
      <c r="A384">
        <v>21750</v>
      </c>
      <c r="B384" t="s">
        <v>999</v>
      </c>
      <c r="C384">
        <v>0</v>
      </c>
      <c r="D384">
        <v>0</v>
      </c>
    </row>
    <row r="385" spans="1:4" x14ac:dyDescent="0.3">
      <c r="A385">
        <v>21754</v>
      </c>
      <c r="B385" t="s">
        <v>1027</v>
      </c>
      <c r="C385">
        <v>62</v>
      </c>
      <c r="D385">
        <v>3.9609273680915358E-4</v>
      </c>
    </row>
    <row r="386" spans="1:4" x14ac:dyDescent="0.3">
      <c r="A386">
        <v>21755</v>
      </c>
      <c r="B386" t="s">
        <v>1027</v>
      </c>
      <c r="C386">
        <v>33</v>
      </c>
      <c r="D386">
        <v>2.1082355346293657E-4</v>
      </c>
    </row>
    <row r="387" spans="1:4" x14ac:dyDescent="0.3">
      <c r="A387">
        <v>21756</v>
      </c>
      <c r="B387" t="s">
        <v>999</v>
      </c>
      <c r="C387">
        <v>4</v>
      </c>
      <c r="D387">
        <v>2.5554370116719587E-5</v>
      </c>
    </row>
    <row r="388" spans="1:4" x14ac:dyDescent="0.3">
      <c r="A388">
        <v>21757</v>
      </c>
      <c r="B388" t="s">
        <v>1041</v>
      </c>
      <c r="C388">
        <v>0</v>
      </c>
      <c r="D388">
        <v>0</v>
      </c>
    </row>
    <row r="389" spans="1:4" x14ac:dyDescent="0.3">
      <c r="A389">
        <v>21758</v>
      </c>
      <c r="B389" t="s">
        <v>1027</v>
      </c>
      <c r="C389">
        <v>14</v>
      </c>
      <c r="D389">
        <v>8.9440295408518554E-5</v>
      </c>
    </row>
    <row r="390" spans="1:4" x14ac:dyDescent="0.3">
      <c r="A390">
        <v>21762</v>
      </c>
      <c r="B390" t="s">
        <v>1027</v>
      </c>
      <c r="C390">
        <v>0</v>
      </c>
      <c r="D390">
        <v>0</v>
      </c>
    </row>
    <row r="391" spans="1:4" x14ac:dyDescent="0.3">
      <c r="A391">
        <v>21766</v>
      </c>
      <c r="B391" t="s">
        <v>1032</v>
      </c>
      <c r="C391">
        <v>0</v>
      </c>
      <c r="D391">
        <v>0</v>
      </c>
    </row>
    <row r="392" spans="1:4" x14ac:dyDescent="0.3">
      <c r="A392">
        <v>21767</v>
      </c>
      <c r="B392" t="s">
        <v>999</v>
      </c>
      <c r="C392">
        <v>0</v>
      </c>
      <c r="D392">
        <v>0</v>
      </c>
    </row>
    <row r="393" spans="1:4" x14ac:dyDescent="0.3">
      <c r="A393">
        <v>21769</v>
      </c>
      <c r="B393" t="s">
        <v>1027</v>
      </c>
      <c r="C393">
        <v>69</v>
      </c>
      <c r="D393">
        <v>4.4081288451341282E-4</v>
      </c>
    </row>
    <row r="394" spans="1:4" x14ac:dyDescent="0.3">
      <c r="A394">
        <v>21770</v>
      </c>
      <c r="B394" t="s">
        <v>1027</v>
      </c>
      <c r="C394">
        <v>59</v>
      </c>
      <c r="D394">
        <v>3.769269592216139E-4</v>
      </c>
    </row>
    <row r="395" spans="1:4" x14ac:dyDescent="0.3">
      <c r="A395">
        <v>21771</v>
      </c>
      <c r="B395" t="s">
        <v>1027</v>
      </c>
      <c r="C395">
        <v>185</v>
      </c>
      <c r="D395">
        <v>1.1818896178982809E-3</v>
      </c>
    </row>
    <row r="396" spans="1:4" x14ac:dyDescent="0.3">
      <c r="A396">
        <v>21773</v>
      </c>
      <c r="B396" t="s">
        <v>1027</v>
      </c>
      <c r="C396">
        <v>14</v>
      </c>
      <c r="D396">
        <v>8.9440295408518554E-5</v>
      </c>
    </row>
    <row r="397" spans="1:4" x14ac:dyDescent="0.3">
      <c r="A397">
        <v>21774</v>
      </c>
      <c r="B397" t="s">
        <v>1027</v>
      </c>
      <c r="C397">
        <v>29</v>
      </c>
      <c r="D397">
        <v>1.8526918334621698E-4</v>
      </c>
    </row>
    <row r="398" spans="1:4" x14ac:dyDescent="0.3">
      <c r="A398">
        <v>21776</v>
      </c>
      <c r="B398" t="s">
        <v>1041</v>
      </c>
      <c r="C398">
        <v>9</v>
      </c>
      <c r="D398">
        <v>5.749733276261907E-5</v>
      </c>
    </row>
    <row r="399" spans="1:4" x14ac:dyDescent="0.3">
      <c r="A399">
        <v>21777</v>
      </c>
      <c r="B399" t="s">
        <v>1027</v>
      </c>
      <c r="C399">
        <v>0</v>
      </c>
      <c r="D399">
        <v>0</v>
      </c>
    </row>
    <row r="400" spans="1:4" x14ac:dyDescent="0.3">
      <c r="A400">
        <v>21778</v>
      </c>
      <c r="B400" t="s">
        <v>1027</v>
      </c>
      <c r="C400">
        <v>0</v>
      </c>
      <c r="D400">
        <v>0</v>
      </c>
    </row>
    <row r="401" spans="1:4" x14ac:dyDescent="0.3">
      <c r="A401">
        <v>21779</v>
      </c>
      <c r="B401" t="s">
        <v>999</v>
      </c>
      <c r="C401">
        <v>0</v>
      </c>
      <c r="D401">
        <v>0</v>
      </c>
    </row>
    <row r="402" spans="1:4" x14ac:dyDescent="0.3">
      <c r="A402">
        <v>21780</v>
      </c>
      <c r="B402" t="s">
        <v>1027</v>
      </c>
      <c r="C402">
        <v>2</v>
      </c>
      <c r="D402">
        <v>1.2777185058359793E-5</v>
      </c>
    </row>
    <row r="403" spans="1:4" x14ac:dyDescent="0.3">
      <c r="A403">
        <v>21781</v>
      </c>
      <c r="B403" t="s">
        <v>999</v>
      </c>
      <c r="C403">
        <v>0</v>
      </c>
      <c r="D403">
        <v>0</v>
      </c>
    </row>
    <row r="404" spans="1:4" x14ac:dyDescent="0.3">
      <c r="A404">
        <v>21782</v>
      </c>
      <c r="B404" t="s">
        <v>999</v>
      </c>
      <c r="C404">
        <v>0</v>
      </c>
      <c r="D404">
        <v>0</v>
      </c>
    </row>
    <row r="405" spans="1:4" x14ac:dyDescent="0.3">
      <c r="A405">
        <v>21783</v>
      </c>
      <c r="B405" t="s">
        <v>999</v>
      </c>
      <c r="C405">
        <v>31</v>
      </c>
      <c r="D405">
        <v>1.9804636840457679E-4</v>
      </c>
    </row>
    <row r="406" spans="1:4" x14ac:dyDescent="0.3">
      <c r="A406">
        <v>21784</v>
      </c>
      <c r="B406" t="s">
        <v>1041</v>
      </c>
      <c r="C406">
        <v>69</v>
      </c>
      <c r="D406">
        <v>4.4081288451341282E-4</v>
      </c>
    </row>
    <row r="407" spans="1:4" x14ac:dyDescent="0.3">
      <c r="A407">
        <v>21787</v>
      </c>
      <c r="B407" t="s">
        <v>1041</v>
      </c>
      <c r="C407">
        <v>30</v>
      </c>
      <c r="D407">
        <v>1.9165777587539689E-4</v>
      </c>
    </row>
    <row r="408" spans="1:4" x14ac:dyDescent="0.3">
      <c r="A408">
        <v>21788</v>
      </c>
      <c r="B408" t="s">
        <v>1027</v>
      </c>
      <c r="C408">
        <v>10</v>
      </c>
      <c r="D408">
        <v>6.3885925291798967E-5</v>
      </c>
    </row>
    <row r="409" spans="1:4" x14ac:dyDescent="0.3">
      <c r="A409">
        <v>21790</v>
      </c>
      <c r="B409" t="s">
        <v>1027</v>
      </c>
      <c r="C409">
        <v>0</v>
      </c>
      <c r="D409">
        <v>0</v>
      </c>
    </row>
    <row r="410" spans="1:4" x14ac:dyDescent="0.3">
      <c r="A410">
        <v>21791</v>
      </c>
      <c r="B410" t="s">
        <v>1041</v>
      </c>
      <c r="C410">
        <v>40</v>
      </c>
      <c r="D410">
        <v>2.5554370116719587E-4</v>
      </c>
    </row>
    <row r="411" spans="1:4" x14ac:dyDescent="0.3">
      <c r="A411">
        <v>21793</v>
      </c>
      <c r="B411" t="s">
        <v>1027</v>
      </c>
      <c r="C411">
        <v>251</v>
      </c>
      <c r="D411">
        <v>1.6035367248241541E-3</v>
      </c>
    </row>
    <row r="412" spans="1:4" x14ac:dyDescent="0.3">
      <c r="A412">
        <v>21794</v>
      </c>
      <c r="B412" t="s">
        <v>1038</v>
      </c>
      <c r="C412">
        <v>0</v>
      </c>
      <c r="D412">
        <v>0</v>
      </c>
    </row>
    <row r="413" spans="1:4" x14ac:dyDescent="0.3">
      <c r="A413">
        <v>21795</v>
      </c>
      <c r="B413" t="s">
        <v>999</v>
      </c>
      <c r="C413">
        <v>11</v>
      </c>
      <c r="D413">
        <v>7.0274517820978857E-5</v>
      </c>
    </row>
    <row r="414" spans="1:4" x14ac:dyDescent="0.3">
      <c r="A414">
        <v>21797</v>
      </c>
      <c r="B414" t="s">
        <v>1038</v>
      </c>
      <c r="C414">
        <v>2</v>
      </c>
      <c r="D414">
        <v>1.2777185058359793E-5</v>
      </c>
    </row>
    <row r="415" spans="1:4" x14ac:dyDescent="0.3">
      <c r="A415">
        <v>21798</v>
      </c>
      <c r="B415" t="s">
        <v>1027</v>
      </c>
      <c r="C415">
        <v>0</v>
      </c>
      <c r="D415">
        <v>0</v>
      </c>
    </row>
    <row r="416" spans="1:4" x14ac:dyDescent="0.3">
      <c r="A416">
        <v>21801</v>
      </c>
      <c r="B416" t="s">
        <v>1021</v>
      </c>
      <c r="C416">
        <v>834</v>
      </c>
      <c r="D416">
        <v>5.3280861693360331E-3</v>
      </c>
    </row>
    <row r="417" spans="1:4" x14ac:dyDescent="0.3">
      <c r="A417">
        <v>21802</v>
      </c>
      <c r="B417" t="s">
        <v>1021</v>
      </c>
      <c r="C417">
        <v>0</v>
      </c>
      <c r="D417">
        <v>0</v>
      </c>
    </row>
    <row r="418" spans="1:4" x14ac:dyDescent="0.3">
      <c r="A418">
        <v>21804</v>
      </c>
      <c r="B418" t="s">
        <v>1021</v>
      </c>
      <c r="C418">
        <v>1020</v>
      </c>
      <c r="D418">
        <v>6.5163643797634943E-3</v>
      </c>
    </row>
    <row r="419" spans="1:4" x14ac:dyDescent="0.3">
      <c r="A419">
        <v>21810</v>
      </c>
      <c r="B419" t="s">
        <v>1021</v>
      </c>
      <c r="C419">
        <v>0</v>
      </c>
      <c r="D419">
        <v>0</v>
      </c>
    </row>
    <row r="420" spans="1:4" x14ac:dyDescent="0.3">
      <c r="A420">
        <v>21811</v>
      </c>
      <c r="B420" t="s">
        <v>1062</v>
      </c>
      <c r="C420">
        <v>92</v>
      </c>
      <c r="D420">
        <v>5.8775051268455047E-4</v>
      </c>
    </row>
    <row r="421" spans="1:4" x14ac:dyDescent="0.3">
      <c r="A421">
        <v>21813</v>
      </c>
      <c r="B421" t="s">
        <v>1062</v>
      </c>
      <c r="C421">
        <v>0</v>
      </c>
      <c r="D421">
        <v>0</v>
      </c>
    </row>
    <row r="422" spans="1:4" x14ac:dyDescent="0.3">
      <c r="A422">
        <v>21814</v>
      </c>
      <c r="B422" t="s">
        <v>1021</v>
      </c>
      <c r="C422">
        <v>0</v>
      </c>
      <c r="D422">
        <v>0</v>
      </c>
    </row>
    <row r="423" spans="1:4" x14ac:dyDescent="0.3">
      <c r="A423">
        <v>21817</v>
      </c>
      <c r="B423" t="s">
        <v>1108</v>
      </c>
      <c r="C423">
        <v>111</v>
      </c>
      <c r="D423">
        <v>7.0913377073896844E-4</v>
      </c>
    </row>
    <row r="424" spans="1:4" x14ac:dyDescent="0.3">
      <c r="A424">
        <v>21821</v>
      </c>
      <c r="B424" t="s">
        <v>1108</v>
      </c>
      <c r="C424">
        <v>0</v>
      </c>
      <c r="D424">
        <v>0</v>
      </c>
    </row>
    <row r="425" spans="1:4" x14ac:dyDescent="0.3">
      <c r="A425">
        <v>21822</v>
      </c>
      <c r="B425" t="s">
        <v>1062</v>
      </c>
      <c r="C425">
        <v>0</v>
      </c>
      <c r="D425">
        <v>0</v>
      </c>
    </row>
    <row r="426" spans="1:4" x14ac:dyDescent="0.3">
      <c r="A426">
        <v>21824</v>
      </c>
      <c r="B426" t="s">
        <v>1108</v>
      </c>
      <c r="C426">
        <v>0</v>
      </c>
      <c r="D426">
        <v>0</v>
      </c>
    </row>
    <row r="427" spans="1:4" x14ac:dyDescent="0.3">
      <c r="A427">
        <v>21826</v>
      </c>
      <c r="B427" t="s">
        <v>1021</v>
      </c>
      <c r="C427">
        <v>157</v>
      </c>
      <c r="D427">
        <v>1.0030090270812437E-3</v>
      </c>
    </row>
    <row r="428" spans="1:4" x14ac:dyDescent="0.3">
      <c r="A428">
        <v>21829</v>
      </c>
      <c r="B428" t="s">
        <v>1062</v>
      </c>
      <c r="C428">
        <v>0</v>
      </c>
      <c r="D428">
        <v>0</v>
      </c>
    </row>
    <row r="429" spans="1:4" x14ac:dyDescent="0.3">
      <c r="A429">
        <v>21830</v>
      </c>
      <c r="B429" t="s">
        <v>1021</v>
      </c>
      <c r="C429">
        <v>47</v>
      </c>
      <c r="D429">
        <v>3.0026384887145511E-4</v>
      </c>
    </row>
    <row r="430" spans="1:4" x14ac:dyDescent="0.3">
      <c r="A430">
        <v>21835</v>
      </c>
      <c r="B430" t="s">
        <v>1097</v>
      </c>
      <c r="C430">
        <v>0</v>
      </c>
      <c r="D430">
        <v>0</v>
      </c>
    </row>
    <row r="431" spans="1:4" x14ac:dyDescent="0.3">
      <c r="A431">
        <v>21837</v>
      </c>
      <c r="B431" t="s">
        <v>1021</v>
      </c>
      <c r="C431">
        <v>0</v>
      </c>
      <c r="D431">
        <v>0</v>
      </c>
    </row>
    <row r="432" spans="1:4" x14ac:dyDescent="0.3">
      <c r="A432">
        <v>21838</v>
      </c>
      <c r="B432" t="s">
        <v>1108</v>
      </c>
      <c r="C432">
        <v>0</v>
      </c>
      <c r="D432">
        <v>0</v>
      </c>
    </row>
    <row r="433" spans="1:4" x14ac:dyDescent="0.3">
      <c r="A433">
        <v>21840</v>
      </c>
      <c r="B433" t="s">
        <v>1021</v>
      </c>
      <c r="C433">
        <v>0</v>
      </c>
      <c r="D433">
        <v>0</v>
      </c>
    </row>
    <row r="434" spans="1:4" x14ac:dyDescent="0.3">
      <c r="A434">
        <v>21841</v>
      </c>
      <c r="B434" t="s">
        <v>1062</v>
      </c>
      <c r="C434">
        <v>17</v>
      </c>
      <c r="D434">
        <v>1.0860607299605824E-4</v>
      </c>
    </row>
    <row r="435" spans="1:4" x14ac:dyDescent="0.3">
      <c r="A435">
        <v>21842</v>
      </c>
      <c r="B435" t="s">
        <v>1062</v>
      </c>
      <c r="C435">
        <v>135</v>
      </c>
      <c r="D435">
        <v>8.6245999143928602E-4</v>
      </c>
    </row>
    <row r="436" spans="1:4" x14ac:dyDescent="0.3">
      <c r="A436">
        <v>21849</v>
      </c>
      <c r="B436" t="s">
        <v>1021</v>
      </c>
      <c r="C436">
        <v>0</v>
      </c>
      <c r="D436">
        <v>0</v>
      </c>
    </row>
    <row r="437" spans="1:4" x14ac:dyDescent="0.3">
      <c r="A437">
        <v>21850</v>
      </c>
      <c r="B437" t="s">
        <v>1021</v>
      </c>
      <c r="C437">
        <v>0</v>
      </c>
      <c r="D437">
        <v>0</v>
      </c>
    </row>
    <row r="438" spans="1:4" x14ac:dyDescent="0.3">
      <c r="A438">
        <v>21851</v>
      </c>
      <c r="B438" t="s">
        <v>1062</v>
      </c>
      <c r="C438">
        <v>119</v>
      </c>
      <c r="D438">
        <v>7.6024251097240767E-4</v>
      </c>
    </row>
    <row r="439" spans="1:4" x14ac:dyDescent="0.3">
      <c r="A439">
        <v>21853</v>
      </c>
      <c r="B439" t="s">
        <v>1108</v>
      </c>
      <c r="C439">
        <v>41</v>
      </c>
      <c r="D439">
        <v>2.6193229369637574E-4</v>
      </c>
    </row>
    <row r="440" spans="1:4" x14ac:dyDescent="0.3">
      <c r="A440">
        <v>21856</v>
      </c>
      <c r="B440" t="s">
        <v>1021</v>
      </c>
      <c r="C440">
        <v>0</v>
      </c>
      <c r="D440">
        <v>0</v>
      </c>
    </row>
    <row r="441" spans="1:4" x14ac:dyDescent="0.3">
      <c r="A441">
        <v>21861</v>
      </c>
      <c r="B441" t="s">
        <v>1021</v>
      </c>
      <c r="C441">
        <v>0</v>
      </c>
      <c r="D441">
        <v>0</v>
      </c>
    </row>
    <row r="442" spans="1:4" x14ac:dyDescent="0.3">
      <c r="A442">
        <v>21862</v>
      </c>
      <c r="B442" t="s">
        <v>1062</v>
      </c>
      <c r="C442">
        <v>0</v>
      </c>
      <c r="D442">
        <v>0</v>
      </c>
    </row>
    <row r="443" spans="1:4" x14ac:dyDescent="0.3">
      <c r="A443">
        <v>21863</v>
      </c>
      <c r="B443" t="s">
        <v>1062</v>
      </c>
      <c r="C443">
        <v>0</v>
      </c>
      <c r="D443">
        <v>0</v>
      </c>
    </row>
    <row r="444" spans="1:4" x14ac:dyDescent="0.3">
      <c r="A444">
        <v>21864</v>
      </c>
      <c r="B444" t="s">
        <v>1062</v>
      </c>
      <c r="C444">
        <v>0</v>
      </c>
      <c r="D444">
        <v>0</v>
      </c>
    </row>
    <row r="445" spans="1:4" x14ac:dyDescent="0.3">
      <c r="A445">
        <v>21865</v>
      </c>
      <c r="B445" t="s">
        <v>1021</v>
      </c>
      <c r="C445">
        <v>12</v>
      </c>
      <c r="D445">
        <v>7.666311035015876E-5</v>
      </c>
    </row>
    <row r="446" spans="1:4" x14ac:dyDescent="0.3">
      <c r="A446">
        <v>21866</v>
      </c>
      <c r="B446" t="s">
        <v>1108</v>
      </c>
      <c r="C446">
        <v>0</v>
      </c>
      <c r="D446">
        <v>0</v>
      </c>
    </row>
    <row r="447" spans="1:4" x14ac:dyDescent="0.3">
      <c r="A447">
        <v>21867</v>
      </c>
      <c r="B447" t="s">
        <v>1108</v>
      </c>
      <c r="C447">
        <v>0</v>
      </c>
      <c r="D447">
        <v>0</v>
      </c>
    </row>
    <row r="448" spans="1:4" x14ac:dyDescent="0.3">
      <c r="A448">
        <v>21869</v>
      </c>
      <c r="B448" t="s">
        <v>1097</v>
      </c>
      <c r="C448">
        <v>32</v>
      </c>
      <c r="D448">
        <v>2.0443496093375669E-4</v>
      </c>
    </row>
    <row r="449" spans="1:4" x14ac:dyDescent="0.3">
      <c r="A449">
        <v>21871</v>
      </c>
      <c r="B449" t="s">
        <v>1108</v>
      </c>
      <c r="C449">
        <v>0</v>
      </c>
      <c r="D449">
        <v>0</v>
      </c>
    </row>
    <row r="450" spans="1:4" x14ac:dyDescent="0.3">
      <c r="A450">
        <v>21872</v>
      </c>
      <c r="B450" t="s">
        <v>1062</v>
      </c>
      <c r="C450">
        <v>0</v>
      </c>
      <c r="D450">
        <v>0</v>
      </c>
    </row>
    <row r="451" spans="1:4" x14ac:dyDescent="0.3">
      <c r="A451">
        <v>21874</v>
      </c>
      <c r="B451" t="s">
        <v>1021</v>
      </c>
      <c r="C451">
        <v>0</v>
      </c>
      <c r="D451">
        <v>0</v>
      </c>
    </row>
    <row r="452" spans="1:4" x14ac:dyDescent="0.3">
      <c r="A452">
        <v>21875</v>
      </c>
      <c r="B452" t="s">
        <v>1021</v>
      </c>
      <c r="C452">
        <v>243</v>
      </c>
      <c r="D452">
        <v>1.5524279845907148E-3</v>
      </c>
    </row>
    <row r="453" spans="1:4" x14ac:dyDescent="0.3">
      <c r="A453">
        <v>21890</v>
      </c>
      <c r="B453" t="s">
        <v>1108</v>
      </c>
      <c r="C453">
        <v>0</v>
      </c>
      <c r="D453">
        <v>0</v>
      </c>
    </row>
    <row r="454" spans="1:4" x14ac:dyDescent="0.3">
      <c r="A454">
        <v>21901</v>
      </c>
      <c r="B454" t="s">
        <v>1017</v>
      </c>
      <c r="C454">
        <v>73</v>
      </c>
      <c r="D454">
        <v>4.6636725463013244E-4</v>
      </c>
    </row>
    <row r="455" spans="1:4" x14ac:dyDescent="0.3">
      <c r="A455">
        <v>21902</v>
      </c>
      <c r="B455" t="s">
        <v>1017</v>
      </c>
      <c r="C455">
        <v>0</v>
      </c>
      <c r="D455">
        <v>0</v>
      </c>
    </row>
    <row r="456" spans="1:4" x14ac:dyDescent="0.3">
      <c r="A456">
        <v>21903</v>
      </c>
      <c r="B456" t="s">
        <v>1017</v>
      </c>
      <c r="C456">
        <v>34</v>
      </c>
      <c r="D456">
        <v>2.1721214599211647E-4</v>
      </c>
    </row>
    <row r="457" spans="1:4" x14ac:dyDescent="0.3">
      <c r="A457">
        <v>21904</v>
      </c>
      <c r="B457" t="s">
        <v>1017</v>
      </c>
      <c r="C457">
        <v>1</v>
      </c>
      <c r="D457">
        <v>6.3885925291798967E-6</v>
      </c>
    </row>
    <row r="458" spans="1:4" x14ac:dyDescent="0.3">
      <c r="A458">
        <v>21911</v>
      </c>
      <c r="B458" t="s">
        <v>1017</v>
      </c>
      <c r="C458">
        <v>0</v>
      </c>
      <c r="D458">
        <v>0</v>
      </c>
    </row>
    <row r="459" spans="1:4" x14ac:dyDescent="0.3">
      <c r="A459">
        <v>21912</v>
      </c>
      <c r="B459" t="s">
        <v>1017</v>
      </c>
      <c r="C459">
        <v>39</v>
      </c>
      <c r="D459">
        <v>2.4915510863801594E-4</v>
      </c>
    </row>
    <row r="460" spans="1:4" x14ac:dyDescent="0.3">
      <c r="A460">
        <v>21913</v>
      </c>
      <c r="B460" t="s">
        <v>1017</v>
      </c>
      <c r="C460">
        <v>32</v>
      </c>
      <c r="D460">
        <v>2.0443496093375669E-4</v>
      </c>
    </row>
    <row r="461" spans="1:4" x14ac:dyDescent="0.3">
      <c r="A461">
        <v>21914</v>
      </c>
      <c r="B461" t="s">
        <v>1017</v>
      </c>
      <c r="C461">
        <v>0</v>
      </c>
      <c r="D461">
        <v>0</v>
      </c>
    </row>
    <row r="462" spans="1:4" x14ac:dyDescent="0.3">
      <c r="A462">
        <v>21915</v>
      </c>
      <c r="B462" t="s">
        <v>1017</v>
      </c>
      <c r="C462">
        <v>81</v>
      </c>
      <c r="D462">
        <v>5.1747599486357161E-4</v>
      </c>
    </row>
    <row r="463" spans="1:4" x14ac:dyDescent="0.3">
      <c r="A463">
        <v>21916</v>
      </c>
      <c r="B463" t="s">
        <v>1017</v>
      </c>
      <c r="C463">
        <v>0</v>
      </c>
      <c r="D463">
        <v>0</v>
      </c>
    </row>
    <row r="464" spans="1:4" x14ac:dyDescent="0.3">
      <c r="A464">
        <v>21917</v>
      </c>
      <c r="B464" t="s">
        <v>1017</v>
      </c>
      <c r="C464">
        <v>0</v>
      </c>
      <c r="D464">
        <v>0</v>
      </c>
    </row>
    <row r="465" spans="1:4" x14ac:dyDescent="0.3">
      <c r="A465">
        <v>21918</v>
      </c>
      <c r="B465" t="s">
        <v>1017</v>
      </c>
      <c r="C465">
        <v>0</v>
      </c>
      <c r="D465">
        <v>0</v>
      </c>
    </row>
    <row r="466" spans="1:4" x14ac:dyDescent="0.3">
      <c r="A466">
        <v>21919</v>
      </c>
      <c r="B466" t="s">
        <v>1017</v>
      </c>
      <c r="C466">
        <v>0</v>
      </c>
      <c r="D466">
        <v>0</v>
      </c>
    </row>
    <row r="467" spans="1:4" x14ac:dyDescent="0.3">
      <c r="A467">
        <v>21920</v>
      </c>
      <c r="B467" t="s">
        <v>1017</v>
      </c>
      <c r="C467">
        <v>0</v>
      </c>
      <c r="D467">
        <v>0</v>
      </c>
    </row>
    <row r="468" spans="1:4" x14ac:dyDescent="0.3">
      <c r="A468">
        <v>21921</v>
      </c>
      <c r="B468" t="s">
        <v>1017</v>
      </c>
      <c r="C468">
        <v>328</v>
      </c>
      <c r="D468">
        <v>2.095458349571006E-3</v>
      </c>
    </row>
    <row r="469" spans="1:4" x14ac:dyDescent="0.3">
      <c r="A469">
        <v>21930</v>
      </c>
      <c r="B469" t="s">
        <v>1017</v>
      </c>
      <c r="C469">
        <v>0</v>
      </c>
      <c r="D469">
        <v>0</v>
      </c>
    </row>
    <row r="470" spans="1:4" x14ac:dyDescent="0.3">
      <c r="A470" t="s">
        <v>1416</v>
      </c>
      <c r="C470">
        <f>SUBTOTAL(109,CitizenshipTbl[Estimate; Foreign Born: - Noncitizen: - No health insurance coverage])</f>
        <v>156529</v>
      </c>
      <c r="D470">
        <f>SUBTOTAL(109,CitizenshipTbl[% Dist])</f>
        <v>1.0000000000000007</v>
      </c>
    </row>
  </sheetData>
  <pageMargins left="0.7" right="0.7" top="0.75" bottom="0.75" header="0.3" footer="0.3"/>
  <tableParts count="2">
    <tablePart r:id="rId1"/>
    <tablePart r:id="rId2"/>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CH470"/>
  <sheetViews>
    <sheetView workbookViewId="0">
      <pane xSplit="3" ySplit="1" topLeftCell="D2" activePane="bottomRight" state="frozen"/>
      <selection pane="topRight" activeCell="D1" sqref="D1"/>
      <selection pane="bottomLeft" activeCell="A2" sqref="A2"/>
      <selection pane="bottomRight"/>
    </sheetView>
  </sheetViews>
  <sheetFormatPr defaultRowHeight="14.4" x14ac:dyDescent="0.3"/>
  <cols>
    <col min="1" max="1" width="15.33203125" bestFit="1" customWidth="1"/>
    <col min="2" max="2" width="9.88671875" bestFit="1" customWidth="1"/>
    <col min="3" max="3" width="18" customWidth="1"/>
    <col min="4" max="4" width="17.21875" style="19" customWidth="1"/>
    <col min="5" max="5" width="13.88671875" style="20" customWidth="1"/>
    <col min="6" max="6" width="18.88671875" style="19" customWidth="1"/>
    <col min="7" max="7" width="22" style="23" customWidth="1"/>
    <col min="8" max="8" width="20.109375" style="24" customWidth="1"/>
    <col min="9" max="9" width="22" style="23" customWidth="1"/>
    <col min="10" max="10" width="21.5546875" style="24" customWidth="1"/>
    <col min="11" max="11" width="22.5546875" style="23" customWidth="1"/>
    <col min="12" max="12" width="20.109375" style="24" customWidth="1"/>
    <col min="13" max="13" width="22" style="23" customWidth="1"/>
    <col min="14" max="14" width="22.5546875" style="24" customWidth="1"/>
    <col min="15" max="15" width="22" style="23" customWidth="1"/>
    <col min="16" max="16" width="22.5546875" style="24" customWidth="1"/>
    <col min="17" max="17" width="22.77734375" style="23" customWidth="1"/>
    <col min="18" max="18" width="22.5546875" style="24" customWidth="1"/>
    <col min="19" max="19" width="22" style="23" customWidth="1"/>
    <col min="20" max="20" width="22.5546875" style="24" customWidth="1"/>
    <col min="21" max="21" width="22" style="23" customWidth="1"/>
    <col min="22" max="22" width="22.5546875" style="24" customWidth="1"/>
    <col min="23" max="23" width="22" style="23" customWidth="1"/>
    <col min="24" max="24" width="22.5546875" style="24" customWidth="1"/>
    <col min="25" max="25" width="22" style="20" customWidth="1"/>
    <col min="26" max="26" width="19" style="19" customWidth="1"/>
    <col min="27" max="27" width="22.109375" style="23" customWidth="1"/>
    <col min="28" max="28" width="20.21875" style="24" customWidth="1"/>
    <col min="29" max="29" width="22.109375" style="23" customWidth="1"/>
    <col min="30" max="30" width="21.5546875" style="24" customWidth="1"/>
    <col min="31" max="31" width="22.5546875" style="23" customWidth="1"/>
    <col min="32" max="32" width="20.21875" style="24" bestFit="1" customWidth="1"/>
    <col min="33" max="33" width="22.21875" style="23" bestFit="1" customWidth="1"/>
    <col min="34" max="34" width="22.21875" style="24" customWidth="1"/>
    <col min="35" max="35" width="22.109375" style="23" customWidth="1"/>
    <col min="36" max="36" width="20.5546875" style="24" customWidth="1"/>
    <col min="37" max="37" width="22.5546875" style="23" customWidth="1"/>
    <col min="38" max="38" width="20.21875" style="24" bestFit="1" customWidth="1"/>
    <col min="39" max="39" width="22.109375" style="23" bestFit="1" customWidth="1"/>
    <col min="40" max="40" width="20.21875" style="24" customWidth="1"/>
    <col min="41" max="41" width="22.109375" style="23" customWidth="1"/>
    <col min="42" max="42" width="21.77734375" style="24" customWidth="1"/>
    <col min="43" max="43" width="22.109375" style="23" customWidth="1"/>
    <col min="44" max="44" width="22.21875" style="24" customWidth="1"/>
    <col min="45" max="45" width="22.109375" style="20" customWidth="1"/>
    <col min="46" max="46" width="19" style="19" customWidth="1"/>
    <col min="47" max="47" width="22.109375" style="23" customWidth="1"/>
    <col min="48" max="48" width="20.21875" style="24" customWidth="1"/>
    <col min="49" max="49" width="22.109375" style="23" customWidth="1"/>
    <col min="50" max="50" width="21.5546875" style="24" customWidth="1"/>
    <col min="51" max="51" width="22.5546875" style="23" customWidth="1"/>
    <col min="52" max="52" width="20.21875" style="24" bestFit="1" customWidth="1"/>
    <col min="53" max="53" width="22.21875" style="23" bestFit="1" customWidth="1"/>
    <col min="54" max="54" width="20.21875" style="24" customWidth="1"/>
    <col min="55" max="55" width="22.109375" style="23" customWidth="1"/>
    <col min="56" max="56" width="20.5546875" style="24" customWidth="1"/>
    <col min="57" max="57" width="22.5546875" style="23" customWidth="1"/>
    <col min="58" max="58" width="20.21875" style="24" bestFit="1" customWidth="1"/>
    <col min="59" max="59" width="22.109375" style="23" bestFit="1" customWidth="1"/>
    <col min="60" max="60" width="20.21875" style="24" customWidth="1"/>
    <col min="61" max="61" width="22.109375" style="23" customWidth="1"/>
    <col min="62" max="62" width="21.77734375" style="24" customWidth="1"/>
    <col min="63" max="63" width="22.109375" style="23" customWidth="1"/>
    <col min="64" max="64" width="22.21875" style="24" customWidth="1"/>
    <col min="65" max="65" width="22.109375" style="20" customWidth="1"/>
    <col min="66" max="66" width="19" style="19" customWidth="1"/>
    <col min="67" max="67" width="21.33203125" style="23" customWidth="1"/>
    <col min="68" max="68" width="20.21875" style="24" customWidth="1"/>
    <col min="69" max="69" width="21.88671875" style="23" customWidth="1"/>
    <col min="70" max="70" width="21.5546875" style="24" customWidth="1"/>
    <col min="71" max="71" width="22.5546875" style="23" customWidth="1"/>
    <col min="72" max="72" width="20.21875" style="26" bestFit="1" customWidth="1"/>
    <col min="73" max="73" width="22.33203125" style="23" bestFit="1" customWidth="1"/>
    <col min="74" max="74" width="20.21875" style="24" customWidth="1"/>
    <col min="75" max="75" width="21.33203125" style="23" customWidth="1"/>
    <col min="76" max="76" width="20.5546875" style="24" customWidth="1"/>
    <col min="77" max="77" width="22.5546875" style="23" customWidth="1"/>
    <col min="78" max="78" width="20.21875" style="24" bestFit="1" customWidth="1"/>
    <col min="79" max="79" width="22" style="23" customWidth="1"/>
    <col min="80" max="80" width="20.21875" style="24" customWidth="1"/>
    <col min="81" max="81" width="21.33203125" style="23" customWidth="1"/>
    <col min="82" max="82" width="21.77734375" style="24" customWidth="1"/>
    <col min="83" max="83" width="21.33203125" style="23" customWidth="1"/>
    <col min="84" max="84" width="22.21875" style="24" customWidth="1"/>
    <col min="85" max="85" width="21.33203125" style="20" customWidth="1"/>
  </cols>
  <sheetData>
    <row r="1" spans="1:86" s="13" customFormat="1" ht="65.400000000000006" customHeight="1" x14ac:dyDescent="0.3">
      <c r="A1" s="12" t="s">
        <v>0</v>
      </c>
      <c r="B1" s="13" t="s">
        <v>1</v>
      </c>
      <c r="C1" s="16" t="s">
        <v>2</v>
      </c>
      <c r="D1" s="17" t="s">
        <v>939</v>
      </c>
      <c r="E1" s="18" t="s">
        <v>1420</v>
      </c>
      <c r="F1" s="17" t="s">
        <v>940</v>
      </c>
      <c r="G1" s="21" t="s">
        <v>1421</v>
      </c>
      <c r="H1" s="22" t="s">
        <v>942</v>
      </c>
      <c r="I1" s="21" t="s">
        <v>1422</v>
      </c>
      <c r="J1" s="22" t="s">
        <v>941</v>
      </c>
      <c r="K1" s="21" t="s">
        <v>1423</v>
      </c>
      <c r="L1" s="22" t="s">
        <v>943</v>
      </c>
      <c r="M1" s="21" t="s">
        <v>1424</v>
      </c>
      <c r="N1" s="22" t="s">
        <v>944</v>
      </c>
      <c r="O1" s="21" t="s">
        <v>1425</v>
      </c>
      <c r="P1" s="22" t="s">
        <v>980</v>
      </c>
      <c r="Q1" s="21" t="s">
        <v>1426</v>
      </c>
      <c r="R1" s="22" t="s">
        <v>945</v>
      </c>
      <c r="S1" s="21" t="s">
        <v>1427</v>
      </c>
      <c r="T1" s="22" t="s">
        <v>946</v>
      </c>
      <c r="U1" s="21" t="s">
        <v>1428</v>
      </c>
      <c r="V1" s="22" t="s">
        <v>947</v>
      </c>
      <c r="W1" s="21" t="s">
        <v>1429</v>
      </c>
      <c r="X1" s="22" t="s">
        <v>948</v>
      </c>
      <c r="Y1" s="18" t="s">
        <v>1430</v>
      </c>
      <c r="Z1" s="17" t="s">
        <v>949</v>
      </c>
      <c r="AA1" s="21" t="s">
        <v>1431</v>
      </c>
      <c r="AB1" s="22" t="s">
        <v>950</v>
      </c>
      <c r="AC1" s="21" t="s">
        <v>1432</v>
      </c>
      <c r="AD1" s="22" t="s">
        <v>951</v>
      </c>
      <c r="AE1" s="21" t="s">
        <v>1433</v>
      </c>
      <c r="AF1" s="22" t="s">
        <v>1435</v>
      </c>
      <c r="AG1" s="21" t="s">
        <v>1434</v>
      </c>
      <c r="AH1" s="22" t="s">
        <v>952</v>
      </c>
      <c r="AI1" s="21" t="s">
        <v>1436</v>
      </c>
      <c r="AJ1" s="22" t="s">
        <v>953</v>
      </c>
      <c r="AK1" s="21" t="s">
        <v>1437</v>
      </c>
      <c r="AL1" s="22" t="s">
        <v>954</v>
      </c>
      <c r="AM1" s="21" t="s">
        <v>1438</v>
      </c>
      <c r="AN1" s="22" t="s">
        <v>955</v>
      </c>
      <c r="AO1" s="21" t="s">
        <v>1439</v>
      </c>
      <c r="AP1" s="22" t="s">
        <v>956</v>
      </c>
      <c r="AQ1" s="21" t="s">
        <v>1440</v>
      </c>
      <c r="AR1" s="22" t="s">
        <v>957</v>
      </c>
      <c r="AS1" s="18" t="s">
        <v>1441</v>
      </c>
      <c r="AT1" s="17" t="s">
        <v>958</v>
      </c>
      <c r="AU1" s="21" t="s">
        <v>1442</v>
      </c>
      <c r="AV1" s="22" t="s">
        <v>959</v>
      </c>
      <c r="AW1" s="21" t="s">
        <v>1443</v>
      </c>
      <c r="AX1" s="22" t="s">
        <v>960</v>
      </c>
      <c r="AY1" s="21" t="s">
        <v>1444</v>
      </c>
      <c r="AZ1" s="22" t="s">
        <v>961</v>
      </c>
      <c r="BA1" s="21" t="s">
        <v>1445</v>
      </c>
      <c r="BB1" s="22" t="s">
        <v>962</v>
      </c>
      <c r="BC1" s="21" t="s">
        <v>1446</v>
      </c>
      <c r="BD1" s="22" t="s">
        <v>963</v>
      </c>
      <c r="BE1" s="21" t="s">
        <v>1447</v>
      </c>
      <c r="BF1" s="22" t="s">
        <v>964</v>
      </c>
      <c r="BG1" s="21" t="s">
        <v>1448</v>
      </c>
      <c r="BH1" s="22" t="s">
        <v>965</v>
      </c>
      <c r="BI1" s="21" t="s">
        <v>1449</v>
      </c>
      <c r="BJ1" s="22" t="s">
        <v>966</v>
      </c>
      <c r="BK1" s="21" t="s">
        <v>1450</v>
      </c>
      <c r="BL1" s="22" t="s">
        <v>967</v>
      </c>
      <c r="BM1" s="18" t="s">
        <v>1451</v>
      </c>
      <c r="BN1" s="17" t="s">
        <v>968</v>
      </c>
      <c r="BO1" s="21" t="s">
        <v>1452</v>
      </c>
      <c r="BP1" s="22" t="s">
        <v>969</v>
      </c>
      <c r="BQ1" s="21" t="s">
        <v>1453</v>
      </c>
      <c r="BR1" s="22" t="s">
        <v>970</v>
      </c>
      <c r="BS1" s="21" t="s">
        <v>1454</v>
      </c>
      <c r="BT1" s="25" t="s">
        <v>971</v>
      </c>
      <c r="BU1" s="21" t="s">
        <v>1455</v>
      </c>
      <c r="BV1" s="22" t="s">
        <v>972</v>
      </c>
      <c r="BW1" s="21" t="s">
        <v>1456</v>
      </c>
      <c r="BX1" s="22" t="s">
        <v>973</v>
      </c>
      <c r="BY1" s="21" t="s">
        <v>1457</v>
      </c>
      <c r="BZ1" s="22" t="s">
        <v>974</v>
      </c>
      <c r="CA1" s="21" t="s">
        <v>1458</v>
      </c>
      <c r="CB1" s="22" t="s">
        <v>975</v>
      </c>
      <c r="CC1" s="21" t="s">
        <v>1459</v>
      </c>
      <c r="CD1" s="22" t="s">
        <v>976</v>
      </c>
      <c r="CE1" s="21" t="s">
        <v>1460</v>
      </c>
      <c r="CF1" s="22" t="s">
        <v>977</v>
      </c>
      <c r="CG1" s="18" t="s">
        <v>1461</v>
      </c>
      <c r="CH1" s="12"/>
    </row>
    <row r="2" spans="1:86" x14ac:dyDescent="0.3">
      <c r="A2" t="s">
        <v>3</v>
      </c>
      <c r="B2">
        <v>20601</v>
      </c>
      <c r="C2" t="s">
        <v>4</v>
      </c>
      <c r="D2" s="19">
        <v>25665</v>
      </c>
      <c r="E2" s="20">
        <v>1100</v>
      </c>
      <c r="F2" s="19">
        <v>2032</v>
      </c>
      <c r="G2" s="23">
        <v>730</v>
      </c>
      <c r="H2" s="24">
        <v>632</v>
      </c>
      <c r="I2" s="23">
        <v>322</v>
      </c>
      <c r="J2" s="24">
        <v>542</v>
      </c>
      <c r="K2" s="23">
        <v>328</v>
      </c>
      <c r="L2" s="24">
        <v>90</v>
      </c>
      <c r="M2" s="23">
        <v>107</v>
      </c>
      <c r="N2" s="24">
        <v>1038</v>
      </c>
      <c r="O2" s="23">
        <v>349</v>
      </c>
      <c r="P2" s="24">
        <v>828</v>
      </c>
      <c r="Q2" s="23">
        <v>326</v>
      </c>
      <c r="R2" s="24">
        <v>210</v>
      </c>
      <c r="S2" s="23">
        <v>139</v>
      </c>
      <c r="T2" s="24">
        <v>362</v>
      </c>
      <c r="U2" s="23">
        <v>250</v>
      </c>
      <c r="V2" s="24">
        <v>348</v>
      </c>
      <c r="W2" s="23">
        <v>248</v>
      </c>
      <c r="X2" s="24">
        <v>14</v>
      </c>
      <c r="Y2" s="20">
        <v>43</v>
      </c>
      <c r="Z2" s="19">
        <v>1578</v>
      </c>
      <c r="AA2" s="23">
        <v>586</v>
      </c>
      <c r="AB2" s="24">
        <v>618</v>
      </c>
      <c r="AC2" s="23">
        <v>320</v>
      </c>
      <c r="AD2" s="24">
        <v>618</v>
      </c>
      <c r="AE2" s="23">
        <v>320</v>
      </c>
      <c r="AF2" s="24">
        <v>0</v>
      </c>
      <c r="AG2" s="23">
        <v>22</v>
      </c>
      <c r="AH2" s="24">
        <v>827</v>
      </c>
      <c r="AI2" s="23">
        <v>298</v>
      </c>
      <c r="AJ2" s="24">
        <v>773</v>
      </c>
      <c r="AK2" s="23">
        <v>290</v>
      </c>
      <c r="AL2" s="24">
        <v>54</v>
      </c>
      <c r="AM2" s="23">
        <v>30</v>
      </c>
      <c r="AN2" s="24">
        <v>133</v>
      </c>
      <c r="AO2" s="23">
        <v>74</v>
      </c>
      <c r="AP2" s="24">
        <v>133</v>
      </c>
      <c r="AQ2" s="23">
        <v>74</v>
      </c>
      <c r="AR2" s="24">
        <v>0</v>
      </c>
      <c r="AS2" s="20">
        <v>22</v>
      </c>
      <c r="AT2" s="19">
        <v>6589</v>
      </c>
      <c r="AU2" s="23">
        <v>1168</v>
      </c>
      <c r="AV2" s="24">
        <v>2212</v>
      </c>
      <c r="AW2" s="23">
        <v>546</v>
      </c>
      <c r="AX2" s="24">
        <v>2185</v>
      </c>
      <c r="AY2" s="23">
        <v>540</v>
      </c>
      <c r="AZ2" s="24">
        <v>27</v>
      </c>
      <c r="BA2" s="23">
        <v>30</v>
      </c>
      <c r="BB2" s="24">
        <v>3969</v>
      </c>
      <c r="BC2" s="23">
        <v>762</v>
      </c>
      <c r="BD2" s="24">
        <v>3644</v>
      </c>
      <c r="BE2" s="23">
        <v>740</v>
      </c>
      <c r="BF2" s="24">
        <v>325</v>
      </c>
      <c r="BG2" s="23">
        <v>182</v>
      </c>
      <c r="BH2" s="24">
        <v>408</v>
      </c>
      <c r="BI2" s="23">
        <v>104</v>
      </c>
      <c r="BJ2" s="24">
        <v>408</v>
      </c>
      <c r="BK2" s="23">
        <v>104</v>
      </c>
      <c r="BL2" s="24">
        <v>0</v>
      </c>
      <c r="BM2" s="20">
        <v>22</v>
      </c>
      <c r="BN2" s="19">
        <v>15466</v>
      </c>
      <c r="BO2" s="23">
        <v>1235</v>
      </c>
      <c r="BP2" s="24">
        <v>3412</v>
      </c>
      <c r="BQ2" s="23">
        <v>567</v>
      </c>
      <c r="BR2" s="24">
        <v>3248</v>
      </c>
      <c r="BS2" s="23">
        <v>556</v>
      </c>
      <c r="BT2" s="26">
        <v>164</v>
      </c>
      <c r="BU2" s="23">
        <v>102</v>
      </c>
      <c r="BV2" s="24">
        <v>10514</v>
      </c>
      <c r="BW2" s="23">
        <v>760</v>
      </c>
      <c r="BX2" s="24">
        <v>10193</v>
      </c>
      <c r="BY2" s="23">
        <v>724</v>
      </c>
      <c r="BZ2" s="24">
        <v>321</v>
      </c>
      <c r="CA2" s="23">
        <v>155</v>
      </c>
      <c r="CB2" s="24">
        <v>1540</v>
      </c>
      <c r="CC2" s="23">
        <v>224</v>
      </c>
      <c r="CD2" s="24">
        <v>1540</v>
      </c>
      <c r="CE2" s="23">
        <v>224</v>
      </c>
      <c r="CF2" s="24">
        <v>0</v>
      </c>
      <c r="CG2" s="20">
        <v>22</v>
      </c>
    </row>
    <row r="3" spans="1:86" x14ac:dyDescent="0.3">
      <c r="A3" t="s">
        <v>5</v>
      </c>
      <c r="B3">
        <v>20602</v>
      </c>
      <c r="C3" t="s">
        <v>6</v>
      </c>
      <c r="D3" s="19">
        <v>26126</v>
      </c>
      <c r="E3" s="20">
        <v>1045</v>
      </c>
      <c r="F3" s="19">
        <v>4214</v>
      </c>
      <c r="G3" s="23">
        <v>1252</v>
      </c>
      <c r="H3" s="24">
        <v>1447</v>
      </c>
      <c r="I3" s="23">
        <v>635</v>
      </c>
      <c r="J3" s="24">
        <v>1420</v>
      </c>
      <c r="K3" s="23">
        <v>626</v>
      </c>
      <c r="L3" s="24">
        <v>27</v>
      </c>
      <c r="M3" s="23">
        <v>57</v>
      </c>
      <c r="N3" s="24">
        <v>2235</v>
      </c>
      <c r="O3" s="23">
        <v>694</v>
      </c>
      <c r="P3" s="24">
        <v>2109</v>
      </c>
      <c r="Q3" s="23">
        <v>675</v>
      </c>
      <c r="R3" s="24">
        <v>126</v>
      </c>
      <c r="S3" s="23">
        <v>118</v>
      </c>
      <c r="T3" s="24">
        <v>532</v>
      </c>
      <c r="U3" s="23">
        <v>286</v>
      </c>
      <c r="V3" s="24">
        <v>522</v>
      </c>
      <c r="W3" s="23">
        <v>286</v>
      </c>
      <c r="X3" s="24">
        <v>10</v>
      </c>
      <c r="Y3" s="20">
        <v>45</v>
      </c>
      <c r="Z3" s="19">
        <v>2245</v>
      </c>
      <c r="AA3" s="23">
        <v>581</v>
      </c>
      <c r="AB3" s="24">
        <v>834</v>
      </c>
      <c r="AC3" s="23">
        <v>337</v>
      </c>
      <c r="AD3" s="24">
        <v>817</v>
      </c>
      <c r="AE3" s="23">
        <v>329</v>
      </c>
      <c r="AF3" s="24">
        <v>17</v>
      </c>
      <c r="AG3" s="23">
        <v>28</v>
      </c>
      <c r="AH3" s="24">
        <v>1166</v>
      </c>
      <c r="AI3" s="23">
        <v>278</v>
      </c>
      <c r="AJ3" s="24">
        <v>1112</v>
      </c>
      <c r="AK3" s="23">
        <v>272</v>
      </c>
      <c r="AL3" s="24">
        <v>54</v>
      </c>
      <c r="AM3" s="23">
        <v>56</v>
      </c>
      <c r="AN3" s="24">
        <v>245</v>
      </c>
      <c r="AO3" s="23">
        <v>135</v>
      </c>
      <c r="AP3" s="24">
        <v>245</v>
      </c>
      <c r="AQ3" s="23">
        <v>135</v>
      </c>
      <c r="AR3" s="24">
        <v>0</v>
      </c>
      <c r="AS3" s="20">
        <v>22</v>
      </c>
      <c r="AT3" s="19">
        <v>6964</v>
      </c>
      <c r="AU3" s="23">
        <v>903</v>
      </c>
      <c r="AV3" s="24">
        <v>2106</v>
      </c>
      <c r="AW3" s="23">
        <v>414</v>
      </c>
      <c r="AX3" s="24">
        <v>2022</v>
      </c>
      <c r="AY3" s="23">
        <v>382</v>
      </c>
      <c r="AZ3" s="24">
        <v>84</v>
      </c>
      <c r="BA3" s="23">
        <v>105</v>
      </c>
      <c r="BB3" s="24">
        <v>4243</v>
      </c>
      <c r="BC3" s="23">
        <v>582</v>
      </c>
      <c r="BD3" s="24">
        <v>3898</v>
      </c>
      <c r="BE3" s="23">
        <v>494</v>
      </c>
      <c r="BF3" s="24">
        <v>345</v>
      </c>
      <c r="BG3" s="23">
        <v>181</v>
      </c>
      <c r="BH3" s="24">
        <v>615</v>
      </c>
      <c r="BI3" s="23">
        <v>186</v>
      </c>
      <c r="BJ3" s="24">
        <v>615</v>
      </c>
      <c r="BK3" s="23">
        <v>186</v>
      </c>
      <c r="BL3" s="24">
        <v>0</v>
      </c>
      <c r="BM3" s="20">
        <v>22</v>
      </c>
      <c r="BN3" s="19">
        <v>12703</v>
      </c>
      <c r="BO3" s="23">
        <v>1040</v>
      </c>
      <c r="BP3" s="24">
        <v>2771</v>
      </c>
      <c r="BQ3" s="23">
        <v>475</v>
      </c>
      <c r="BR3" s="24">
        <v>2766</v>
      </c>
      <c r="BS3" s="23">
        <v>475</v>
      </c>
      <c r="BT3" s="26">
        <v>5</v>
      </c>
      <c r="BU3" s="23">
        <v>9</v>
      </c>
      <c r="BV3" s="24">
        <v>8861</v>
      </c>
      <c r="BW3" s="23">
        <v>651</v>
      </c>
      <c r="BX3" s="24">
        <v>8721</v>
      </c>
      <c r="BY3" s="23">
        <v>636</v>
      </c>
      <c r="BZ3" s="24">
        <v>140</v>
      </c>
      <c r="CA3" s="23">
        <v>71</v>
      </c>
      <c r="CB3" s="24">
        <v>1071</v>
      </c>
      <c r="CC3" s="23">
        <v>197</v>
      </c>
      <c r="CD3" s="24">
        <v>1071</v>
      </c>
      <c r="CE3" s="23">
        <v>197</v>
      </c>
      <c r="CF3" s="24">
        <v>0</v>
      </c>
      <c r="CG3" s="20">
        <v>22</v>
      </c>
    </row>
    <row r="4" spans="1:86" x14ac:dyDescent="0.3">
      <c r="A4" t="s">
        <v>7</v>
      </c>
      <c r="B4">
        <v>20603</v>
      </c>
      <c r="C4" t="s">
        <v>8</v>
      </c>
      <c r="D4" s="19">
        <v>30263</v>
      </c>
      <c r="E4" s="20">
        <v>1031</v>
      </c>
      <c r="F4" s="19">
        <v>1936</v>
      </c>
      <c r="G4" s="23">
        <v>850</v>
      </c>
      <c r="H4" s="24">
        <v>792</v>
      </c>
      <c r="I4" s="23">
        <v>452</v>
      </c>
      <c r="J4" s="24">
        <v>723</v>
      </c>
      <c r="K4" s="23">
        <v>449</v>
      </c>
      <c r="L4" s="24">
        <v>69</v>
      </c>
      <c r="M4" s="23">
        <v>71</v>
      </c>
      <c r="N4" s="24">
        <v>966</v>
      </c>
      <c r="O4" s="23">
        <v>402</v>
      </c>
      <c r="P4" s="24">
        <v>772</v>
      </c>
      <c r="Q4" s="23">
        <v>366</v>
      </c>
      <c r="R4" s="24">
        <v>194</v>
      </c>
      <c r="S4" s="23">
        <v>160</v>
      </c>
      <c r="T4" s="24">
        <v>178</v>
      </c>
      <c r="U4" s="23">
        <v>123</v>
      </c>
      <c r="V4" s="24">
        <v>178</v>
      </c>
      <c r="W4" s="23">
        <v>123</v>
      </c>
      <c r="X4" s="24">
        <v>0</v>
      </c>
      <c r="Y4" s="20">
        <v>50</v>
      </c>
      <c r="Z4" s="19">
        <v>2006</v>
      </c>
      <c r="AA4" s="23">
        <v>669</v>
      </c>
      <c r="AB4" s="24">
        <v>869</v>
      </c>
      <c r="AC4" s="23">
        <v>359</v>
      </c>
      <c r="AD4" s="24">
        <v>869</v>
      </c>
      <c r="AE4" s="23">
        <v>359</v>
      </c>
      <c r="AF4" s="24">
        <v>0</v>
      </c>
      <c r="AG4" s="23">
        <v>25</v>
      </c>
      <c r="AH4" s="24">
        <v>995</v>
      </c>
      <c r="AI4" s="23">
        <v>357</v>
      </c>
      <c r="AJ4" s="24">
        <v>920</v>
      </c>
      <c r="AK4" s="23">
        <v>354</v>
      </c>
      <c r="AL4" s="24">
        <v>75</v>
      </c>
      <c r="AM4" s="23">
        <v>91</v>
      </c>
      <c r="AN4" s="24">
        <v>142</v>
      </c>
      <c r="AO4" s="23">
        <v>79</v>
      </c>
      <c r="AP4" s="24">
        <v>142</v>
      </c>
      <c r="AQ4" s="23">
        <v>79</v>
      </c>
      <c r="AR4" s="24">
        <v>0</v>
      </c>
      <c r="AS4" s="20">
        <v>25</v>
      </c>
      <c r="AT4" s="19">
        <v>7004</v>
      </c>
      <c r="AU4" s="23">
        <v>1000</v>
      </c>
      <c r="AV4" s="24">
        <v>2747</v>
      </c>
      <c r="AW4" s="23">
        <v>562</v>
      </c>
      <c r="AX4" s="24">
        <v>2631</v>
      </c>
      <c r="AY4" s="23">
        <v>565</v>
      </c>
      <c r="AZ4" s="24">
        <v>116</v>
      </c>
      <c r="BA4" s="23">
        <v>81</v>
      </c>
      <c r="BB4" s="24">
        <v>3899</v>
      </c>
      <c r="BC4" s="23">
        <v>552</v>
      </c>
      <c r="BD4" s="24">
        <v>3699</v>
      </c>
      <c r="BE4" s="23">
        <v>532</v>
      </c>
      <c r="BF4" s="24">
        <v>200</v>
      </c>
      <c r="BG4" s="23">
        <v>118</v>
      </c>
      <c r="BH4" s="24">
        <v>358</v>
      </c>
      <c r="BI4" s="23">
        <v>108</v>
      </c>
      <c r="BJ4" s="24">
        <v>343</v>
      </c>
      <c r="BK4" s="23">
        <v>103</v>
      </c>
      <c r="BL4" s="24">
        <v>15</v>
      </c>
      <c r="BM4" s="20">
        <v>26</v>
      </c>
      <c r="BN4" s="19">
        <v>19317</v>
      </c>
      <c r="BO4" s="23">
        <v>1025</v>
      </c>
      <c r="BP4" s="24">
        <v>4278</v>
      </c>
      <c r="BQ4" s="23">
        <v>449</v>
      </c>
      <c r="BR4" s="24">
        <v>4222</v>
      </c>
      <c r="BS4" s="23">
        <v>451</v>
      </c>
      <c r="BT4" s="26">
        <v>56</v>
      </c>
      <c r="BU4" s="23">
        <v>43</v>
      </c>
      <c r="BV4" s="24">
        <v>13726</v>
      </c>
      <c r="BW4" s="23">
        <v>736</v>
      </c>
      <c r="BX4" s="24">
        <v>13359</v>
      </c>
      <c r="BY4" s="23">
        <v>705</v>
      </c>
      <c r="BZ4" s="24">
        <v>367</v>
      </c>
      <c r="CA4" s="23">
        <v>168</v>
      </c>
      <c r="CB4" s="24">
        <v>1313</v>
      </c>
      <c r="CC4" s="23">
        <v>205</v>
      </c>
      <c r="CD4" s="24">
        <v>1302</v>
      </c>
      <c r="CE4" s="23">
        <v>203</v>
      </c>
      <c r="CF4" s="24">
        <v>11</v>
      </c>
      <c r="CG4" s="20">
        <v>21</v>
      </c>
    </row>
    <row r="5" spans="1:86" x14ac:dyDescent="0.3">
      <c r="A5" t="s">
        <v>9</v>
      </c>
      <c r="B5">
        <v>20606</v>
      </c>
      <c r="C5" t="s">
        <v>10</v>
      </c>
      <c r="D5" s="19">
        <v>471</v>
      </c>
      <c r="E5" s="20">
        <v>171</v>
      </c>
      <c r="F5" s="19">
        <v>135</v>
      </c>
      <c r="G5" s="23">
        <v>136</v>
      </c>
      <c r="H5" s="24">
        <v>66</v>
      </c>
      <c r="I5" s="23">
        <v>87</v>
      </c>
      <c r="J5" s="24">
        <v>66</v>
      </c>
      <c r="K5" s="23">
        <v>87</v>
      </c>
      <c r="L5" s="24">
        <v>0</v>
      </c>
      <c r="M5" s="23">
        <v>24</v>
      </c>
      <c r="N5" s="24">
        <v>39</v>
      </c>
      <c r="O5" s="23">
        <v>45</v>
      </c>
      <c r="P5" s="24">
        <v>26</v>
      </c>
      <c r="Q5" s="23">
        <v>37</v>
      </c>
      <c r="R5" s="24">
        <v>13</v>
      </c>
      <c r="S5" s="23">
        <v>32</v>
      </c>
      <c r="T5" s="24">
        <v>30</v>
      </c>
      <c r="U5" s="23">
        <v>41</v>
      </c>
      <c r="V5" s="24">
        <v>30</v>
      </c>
      <c r="W5" s="23">
        <v>41</v>
      </c>
      <c r="X5" s="24">
        <v>0</v>
      </c>
      <c r="Y5" s="20">
        <v>24</v>
      </c>
      <c r="Z5" s="19">
        <v>39</v>
      </c>
      <c r="AA5" s="23">
        <v>34</v>
      </c>
      <c r="AB5" s="24">
        <v>0</v>
      </c>
      <c r="AC5" s="23">
        <v>12</v>
      </c>
      <c r="AD5" s="24">
        <v>0</v>
      </c>
      <c r="AE5" s="23">
        <v>12</v>
      </c>
      <c r="AF5" s="24">
        <v>0</v>
      </c>
      <c r="AG5" s="23">
        <v>12</v>
      </c>
      <c r="AH5" s="24">
        <v>0</v>
      </c>
      <c r="AI5" s="23">
        <v>12</v>
      </c>
      <c r="AJ5" s="24">
        <v>0</v>
      </c>
      <c r="AK5" s="23">
        <v>12</v>
      </c>
      <c r="AL5" s="24">
        <v>0</v>
      </c>
      <c r="AM5" s="23">
        <v>12</v>
      </c>
      <c r="AN5" s="24">
        <v>39</v>
      </c>
      <c r="AO5" s="23">
        <v>34</v>
      </c>
      <c r="AP5" s="24">
        <v>39</v>
      </c>
      <c r="AQ5" s="23">
        <v>34</v>
      </c>
      <c r="AR5" s="24">
        <v>0</v>
      </c>
      <c r="AS5" s="20">
        <v>12</v>
      </c>
      <c r="AT5" s="19">
        <v>94</v>
      </c>
      <c r="AU5" s="23">
        <v>79</v>
      </c>
      <c r="AV5" s="24">
        <v>0</v>
      </c>
      <c r="AW5" s="23">
        <v>12</v>
      </c>
      <c r="AX5" s="24">
        <v>0</v>
      </c>
      <c r="AY5" s="23">
        <v>12</v>
      </c>
      <c r="AZ5" s="24">
        <v>0</v>
      </c>
      <c r="BA5" s="23">
        <v>12</v>
      </c>
      <c r="BB5" s="24">
        <v>64</v>
      </c>
      <c r="BC5" s="23">
        <v>72</v>
      </c>
      <c r="BD5" s="24">
        <v>64</v>
      </c>
      <c r="BE5" s="23">
        <v>72</v>
      </c>
      <c r="BF5" s="24">
        <v>0</v>
      </c>
      <c r="BG5" s="23">
        <v>12</v>
      </c>
      <c r="BH5" s="24">
        <v>30</v>
      </c>
      <c r="BI5" s="23">
        <v>27</v>
      </c>
      <c r="BJ5" s="24">
        <v>30</v>
      </c>
      <c r="BK5" s="23">
        <v>27</v>
      </c>
      <c r="BL5" s="24">
        <v>0</v>
      </c>
      <c r="BM5" s="20">
        <v>12</v>
      </c>
      <c r="BN5" s="19">
        <v>203</v>
      </c>
      <c r="BO5" s="23">
        <v>126</v>
      </c>
      <c r="BP5" s="24">
        <v>31</v>
      </c>
      <c r="BQ5" s="23">
        <v>39</v>
      </c>
      <c r="BR5" s="24">
        <v>31</v>
      </c>
      <c r="BS5" s="23">
        <v>39</v>
      </c>
      <c r="BT5" s="26">
        <v>0</v>
      </c>
      <c r="BU5" s="23">
        <v>12</v>
      </c>
      <c r="BV5" s="24">
        <v>111</v>
      </c>
      <c r="BW5" s="23">
        <v>87</v>
      </c>
      <c r="BX5" s="24">
        <v>111</v>
      </c>
      <c r="BY5" s="23">
        <v>87</v>
      </c>
      <c r="BZ5" s="24">
        <v>0</v>
      </c>
      <c r="CA5" s="23">
        <v>12</v>
      </c>
      <c r="CB5" s="24">
        <v>61</v>
      </c>
      <c r="CC5" s="23">
        <v>33</v>
      </c>
      <c r="CD5" s="24">
        <v>61</v>
      </c>
      <c r="CE5" s="23">
        <v>33</v>
      </c>
      <c r="CF5" s="24">
        <v>0</v>
      </c>
      <c r="CG5" s="20">
        <v>12</v>
      </c>
    </row>
    <row r="6" spans="1:86" x14ac:dyDescent="0.3">
      <c r="A6" t="s">
        <v>11</v>
      </c>
      <c r="B6">
        <v>20607</v>
      </c>
      <c r="C6" t="s">
        <v>12</v>
      </c>
      <c r="D6" s="19">
        <v>10706</v>
      </c>
      <c r="E6" s="20">
        <v>734</v>
      </c>
      <c r="F6" s="19">
        <v>882</v>
      </c>
      <c r="G6" s="23">
        <v>285</v>
      </c>
      <c r="H6" s="24">
        <v>296</v>
      </c>
      <c r="I6" s="23">
        <v>166</v>
      </c>
      <c r="J6" s="24">
        <v>296</v>
      </c>
      <c r="K6" s="23">
        <v>166</v>
      </c>
      <c r="L6" s="24">
        <v>0</v>
      </c>
      <c r="M6" s="23">
        <v>38</v>
      </c>
      <c r="N6" s="24">
        <v>498</v>
      </c>
      <c r="O6" s="23">
        <v>130</v>
      </c>
      <c r="P6" s="24">
        <v>473</v>
      </c>
      <c r="Q6" s="23">
        <v>128</v>
      </c>
      <c r="R6" s="24">
        <v>25</v>
      </c>
      <c r="S6" s="23">
        <v>42</v>
      </c>
      <c r="T6" s="24">
        <v>88</v>
      </c>
      <c r="U6" s="23">
        <v>78</v>
      </c>
      <c r="V6" s="24">
        <v>88</v>
      </c>
      <c r="W6" s="23">
        <v>78</v>
      </c>
      <c r="X6" s="24">
        <v>0</v>
      </c>
      <c r="Y6" s="20">
        <v>38</v>
      </c>
      <c r="Z6" s="19">
        <v>257</v>
      </c>
      <c r="AA6" s="23">
        <v>208</v>
      </c>
      <c r="AB6" s="24">
        <v>101</v>
      </c>
      <c r="AC6" s="23">
        <v>89</v>
      </c>
      <c r="AD6" s="24">
        <v>101</v>
      </c>
      <c r="AE6" s="23">
        <v>89</v>
      </c>
      <c r="AF6" s="24">
        <v>0</v>
      </c>
      <c r="AG6" s="23">
        <v>19</v>
      </c>
      <c r="AH6" s="24">
        <v>152</v>
      </c>
      <c r="AI6" s="23">
        <v>125</v>
      </c>
      <c r="AJ6" s="24">
        <v>152</v>
      </c>
      <c r="AK6" s="23">
        <v>125</v>
      </c>
      <c r="AL6" s="24">
        <v>0</v>
      </c>
      <c r="AM6" s="23">
        <v>19</v>
      </c>
      <c r="AN6" s="24">
        <v>4</v>
      </c>
      <c r="AO6" s="23">
        <v>6</v>
      </c>
      <c r="AP6" s="24">
        <v>4</v>
      </c>
      <c r="AQ6" s="23">
        <v>6</v>
      </c>
      <c r="AR6" s="24">
        <v>0</v>
      </c>
      <c r="AS6" s="20">
        <v>19</v>
      </c>
      <c r="AT6" s="19">
        <v>1645</v>
      </c>
      <c r="AU6" s="23">
        <v>563</v>
      </c>
      <c r="AV6" s="24">
        <v>409</v>
      </c>
      <c r="AW6" s="23">
        <v>218</v>
      </c>
      <c r="AX6" s="24">
        <v>409</v>
      </c>
      <c r="AY6" s="23">
        <v>218</v>
      </c>
      <c r="AZ6" s="24">
        <v>0</v>
      </c>
      <c r="BA6" s="23">
        <v>19</v>
      </c>
      <c r="BB6" s="24">
        <v>1060</v>
      </c>
      <c r="BC6" s="23">
        <v>385</v>
      </c>
      <c r="BD6" s="24">
        <v>919</v>
      </c>
      <c r="BE6" s="23">
        <v>342</v>
      </c>
      <c r="BF6" s="24">
        <v>141</v>
      </c>
      <c r="BG6" s="23">
        <v>112</v>
      </c>
      <c r="BH6" s="24">
        <v>176</v>
      </c>
      <c r="BI6" s="23">
        <v>85</v>
      </c>
      <c r="BJ6" s="24">
        <v>118</v>
      </c>
      <c r="BK6" s="23">
        <v>59</v>
      </c>
      <c r="BL6" s="24">
        <v>58</v>
      </c>
      <c r="BM6" s="20">
        <v>82</v>
      </c>
      <c r="BN6" s="19">
        <v>7922</v>
      </c>
      <c r="BO6" s="23">
        <v>745</v>
      </c>
      <c r="BP6" s="24">
        <v>1636</v>
      </c>
      <c r="BQ6" s="23">
        <v>348</v>
      </c>
      <c r="BR6" s="24">
        <v>1560</v>
      </c>
      <c r="BS6" s="23">
        <v>329</v>
      </c>
      <c r="BT6" s="26">
        <v>76</v>
      </c>
      <c r="BU6" s="23">
        <v>81</v>
      </c>
      <c r="BV6" s="24">
        <v>5394</v>
      </c>
      <c r="BW6" s="23">
        <v>479</v>
      </c>
      <c r="BX6" s="24">
        <v>5222</v>
      </c>
      <c r="BY6" s="23">
        <v>473</v>
      </c>
      <c r="BZ6" s="24">
        <v>172</v>
      </c>
      <c r="CA6" s="23">
        <v>102</v>
      </c>
      <c r="CB6" s="24">
        <v>892</v>
      </c>
      <c r="CC6" s="23">
        <v>178</v>
      </c>
      <c r="CD6" s="24">
        <v>892</v>
      </c>
      <c r="CE6" s="23">
        <v>178</v>
      </c>
      <c r="CF6" s="24">
        <v>0</v>
      </c>
      <c r="CG6" s="20">
        <v>19</v>
      </c>
    </row>
    <row r="7" spans="1:86" x14ac:dyDescent="0.3">
      <c r="A7" t="s">
        <v>13</v>
      </c>
      <c r="B7">
        <v>20608</v>
      </c>
      <c r="C7" t="s">
        <v>14</v>
      </c>
      <c r="D7" s="19">
        <v>774</v>
      </c>
      <c r="E7" s="20">
        <v>166</v>
      </c>
      <c r="F7" s="19">
        <v>137</v>
      </c>
      <c r="G7" s="23">
        <v>115</v>
      </c>
      <c r="H7" s="24">
        <v>16</v>
      </c>
      <c r="I7" s="23">
        <v>25</v>
      </c>
      <c r="J7" s="24">
        <v>16</v>
      </c>
      <c r="K7" s="23">
        <v>25</v>
      </c>
      <c r="L7" s="24">
        <v>0</v>
      </c>
      <c r="M7" s="23">
        <v>24</v>
      </c>
      <c r="N7" s="24">
        <v>112</v>
      </c>
      <c r="O7" s="23">
        <v>104</v>
      </c>
      <c r="P7" s="24">
        <v>103</v>
      </c>
      <c r="Q7" s="23">
        <v>106</v>
      </c>
      <c r="R7" s="24">
        <v>9</v>
      </c>
      <c r="S7" s="23">
        <v>26</v>
      </c>
      <c r="T7" s="24">
        <v>9</v>
      </c>
      <c r="U7" s="23">
        <v>21</v>
      </c>
      <c r="V7" s="24">
        <v>9</v>
      </c>
      <c r="W7" s="23">
        <v>21</v>
      </c>
      <c r="X7" s="24">
        <v>0</v>
      </c>
      <c r="Y7" s="20">
        <v>24</v>
      </c>
      <c r="Z7" s="19">
        <v>58</v>
      </c>
      <c r="AA7" s="23">
        <v>56</v>
      </c>
      <c r="AB7" s="24">
        <v>21</v>
      </c>
      <c r="AC7" s="23">
        <v>34</v>
      </c>
      <c r="AD7" s="24">
        <v>21</v>
      </c>
      <c r="AE7" s="23">
        <v>34</v>
      </c>
      <c r="AF7" s="24">
        <v>0</v>
      </c>
      <c r="AG7" s="23">
        <v>12</v>
      </c>
      <c r="AH7" s="24">
        <v>32</v>
      </c>
      <c r="AI7" s="23">
        <v>27</v>
      </c>
      <c r="AJ7" s="24">
        <v>32</v>
      </c>
      <c r="AK7" s="23">
        <v>27</v>
      </c>
      <c r="AL7" s="24">
        <v>0</v>
      </c>
      <c r="AM7" s="23">
        <v>12</v>
      </c>
      <c r="AN7" s="24">
        <v>5</v>
      </c>
      <c r="AO7" s="23">
        <v>7</v>
      </c>
      <c r="AP7" s="24">
        <v>5</v>
      </c>
      <c r="AQ7" s="23">
        <v>7</v>
      </c>
      <c r="AR7" s="24">
        <v>0</v>
      </c>
      <c r="AS7" s="20">
        <v>12</v>
      </c>
      <c r="AT7" s="19">
        <v>241</v>
      </c>
      <c r="AU7" s="23">
        <v>123</v>
      </c>
      <c r="AV7" s="24">
        <v>15</v>
      </c>
      <c r="AW7" s="23">
        <v>15</v>
      </c>
      <c r="AX7" s="24">
        <v>15</v>
      </c>
      <c r="AY7" s="23">
        <v>15</v>
      </c>
      <c r="AZ7" s="24">
        <v>0</v>
      </c>
      <c r="BA7" s="23">
        <v>12</v>
      </c>
      <c r="BB7" s="24">
        <v>145</v>
      </c>
      <c r="BC7" s="23">
        <v>94</v>
      </c>
      <c r="BD7" s="24">
        <v>86</v>
      </c>
      <c r="BE7" s="23">
        <v>53</v>
      </c>
      <c r="BF7" s="24">
        <v>59</v>
      </c>
      <c r="BG7" s="23">
        <v>47</v>
      </c>
      <c r="BH7" s="24">
        <v>81</v>
      </c>
      <c r="BI7" s="23">
        <v>45</v>
      </c>
      <c r="BJ7" s="24">
        <v>81</v>
      </c>
      <c r="BK7" s="23">
        <v>45</v>
      </c>
      <c r="BL7" s="24">
        <v>0</v>
      </c>
      <c r="BM7" s="20">
        <v>12</v>
      </c>
      <c r="BN7" s="19">
        <v>338</v>
      </c>
      <c r="BO7" s="23">
        <v>118</v>
      </c>
      <c r="BP7" s="24">
        <v>67</v>
      </c>
      <c r="BQ7" s="23">
        <v>49</v>
      </c>
      <c r="BR7" s="24">
        <v>56</v>
      </c>
      <c r="BS7" s="23">
        <v>48</v>
      </c>
      <c r="BT7" s="26">
        <v>11</v>
      </c>
      <c r="BU7" s="23">
        <v>12</v>
      </c>
      <c r="BV7" s="24">
        <v>215</v>
      </c>
      <c r="BW7" s="23">
        <v>82</v>
      </c>
      <c r="BX7" s="24">
        <v>204</v>
      </c>
      <c r="BY7" s="23">
        <v>80</v>
      </c>
      <c r="BZ7" s="24">
        <v>11</v>
      </c>
      <c r="CA7" s="23">
        <v>17</v>
      </c>
      <c r="CB7" s="24">
        <v>56</v>
      </c>
      <c r="CC7" s="23">
        <v>31</v>
      </c>
      <c r="CD7" s="24">
        <v>56</v>
      </c>
      <c r="CE7" s="23">
        <v>31</v>
      </c>
      <c r="CF7" s="24">
        <v>0</v>
      </c>
      <c r="CG7" s="20">
        <v>12</v>
      </c>
    </row>
    <row r="8" spans="1:86" x14ac:dyDescent="0.3">
      <c r="A8" t="s">
        <v>15</v>
      </c>
      <c r="B8">
        <v>20609</v>
      </c>
      <c r="C8" t="s">
        <v>16</v>
      </c>
      <c r="D8" s="19">
        <v>1145</v>
      </c>
      <c r="E8" s="20">
        <v>264</v>
      </c>
      <c r="F8" s="19">
        <v>279</v>
      </c>
      <c r="G8" s="23">
        <v>251</v>
      </c>
      <c r="H8" s="24">
        <v>158</v>
      </c>
      <c r="I8" s="23">
        <v>194</v>
      </c>
      <c r="J8" s="24">
        <v>158</v>
      </c>
      <c r="K8" s="23">
        <v>194</v>
      </c>
      <c r="L8" s="24">
        <v>0</v>
      </c>
      <c r="M8" s="23">
        <v>24</v>
      </c>
      <c r="N8" s="24">
        <v>76</v>
      </c>
      <c r="O8" s="23">
        <v>66</v>
      </c>
      <c r="P8" s="24">
        <v>62</v>
      </c>
      <c r="Q8" s="23">
        <v>62</v>
      </c>
      <c r="R8" s="24">
        <v>14</v>
      </c>
      <c r="S8" s="23">
        <v>34</v>
      </c>
      <c r="T8" s="24">
        <v>45</v>
      </c>
      <c r="U8" s="23">
        <v>64</v>
      </c>
      <c r="V8" s="24">
        <v>45</v>
      </c>
      <c r="W8" s="23">
        <v>64</v>
      </c>
      <c r="X8" s="24">
        <v>0</v>
      </c>
      <c r="Y8" s="20">
        <v>24</v>
      </c>
      <c r="Z8" s="19">
        <v>123</v>
      </c>
      <c r="AA8" s="23">
        <v>76</v>
      </c>
      <c r="AB8" s="24">
        <v>0</v>
      </c>
      <c r="AC8" s="23">
        <v>12</v>
      </c>
      <c r="AD8" s="24">
        <v>0</v>
      </c>
      <c r="AE8" s="23">
        <v>12</v>
      </c>
      <c r="AF8" s="24">
        <v>0</v>
      </c>
      <c r="AG8" s="23">
        <v>12</v>
      </c>
      <c r="AH8" s="24">
        <v>47</v>
      </c>
      <c r="AI8" s="23">
        <v>43</v>
      </c>
      <c r="AJ8" s="24">
        <v>47</v>
      </c>
      <c r="AK8" s="23">
        <v>43</v>
      </c>
      <c r="AL8" s="24">
        <v>0</v>
      </c>
      <c r="AM8" s="23">
        <v>12</v>
      </c>
      <c r="AN8" s="24">
        <v>76</v>
      </c>
      <c r="AO8" s="23">
        <v>60</v>
      </c>
      <c r="AP8" s="24">
        <v>76</v>
      </c>
      <c r="AQ8" s="23">
        <v>60</v>
      </c>
      <c r="AR8" s="24">
        <v>0</v>
      </c>
      <c r="AS8" s="20">
        <v>12</v>
      </c>
      <c r="AT8" s="19">
        <v>403</v>
      </c>
      <c r="AU8" s="23">
        <v>211</v>
      </c>
      <c r="AV8" s="24">
        <v>49</v>
      </c>
      <c r="AW8" s="23">
        <v>53</v>
      </c>
      <c r="AX8" s="24">
        <v>49</v>
      </c>
      <c r="AY8" s="23">
        <v>53</v>
      </c>
      <c r="AZ8" s="24">
        <v>0</v>
      </c>
      <c r="BA8" s="23">
        <v>12</v>
      </c>
      <c r="BB8" s="24">
        <v>194</v>
      </c>
      <c r="BC8" s="23">
        <v>100</v>
      </c>
      <c r="BD8" s="24">
        <v>194</v>
      </c>
      <c r="BE8" s="23">
        <v>100</v>
      </c>
      <c r="BF8" s="24">
        <v>0</v>
      </c>
      <c r="BG8" s="23">
        <v>12</v>
      </c>
      <c r="BH8" s="24">
        <v>160</v>
      </c>
      <c r="BI8" s="23">
        <v>115</v>
      </c>
      <c r="BJ8" s="24">
        <v>160</v>
      </c>
      <c r="BK8" s="23">
        <v>115</v>
      </c>
      <c r="BL8" s="24">
        <v>0</v>
      </c>
      <c r="BM8" s="20">
        <v>12</v>
      </c>
      <c r="BN8" s="19">
        <v>340</v>
      </c>
      <c r="BO8" s="23">
        <v>133</v>
      </c>
      <c r="BP8" s="24">
        <v>85</v>
      </c>
      <c r="BQ8" s="23">
        <v>57</v>
      </c>
      <c r="BR8" s="24">
        <v>85</v>
      </c>
      <c r="BS8" s="23">
        <v>57</v>
      </c>
      <c r="BT8" s="26">
        <v>0</v>
      </c>
      <c r="BU8" s="23">
        <v>12</v>
      </c>
      <c r="BV8" s="24">
        <v>179</v>
      </c>
      <c r="BW8" s="23">
        <v>83</v>
      </c>
      <c r="BX8" s="24">
        <v>179</v>
      </c>
      <c r="BY8" s="23">
        <v>83</v>
      </c>
      <c r="BZ8" s="24">
        <v>0</v>
      </c>
      <c r="CA8" s="23">
        <v>12</v>
      </c>
      <c r="CB8" s="24">
        <v>76</v>
      </c>
      <c r="CC8" s="23">
        <v>46</v>
      </c>
      <c r="CD8" s="24">
        <v>76</v>
      </c>
      <c r="CE8" s="23">
        <v>46</v>
      </c>
      <c r="CF8" s="24">
        <v>0</v>
      </c>
      <c r="CG8" s="20">
        <v>12</v>
      </c>
    </row>
    <row r="9" spans="1:86" x14ac:dyDescent="0.3">
      <c r="A9" t="s">
        <v>17</v>
      </c>
      <c r="B9">
        <v>20611</v>
      </c>
      <c r="C9" t="s">
        <v>18</v>
      </c>
      <c r="D9" s="19">
        <v>1495</v>
      </c>
      <c r="E9" s="20">
        <v>421</v>
      </c>
      <c r="F9" s="19">
        <v>205</v>
      </c>
      <c r="G9" s="23">
        <v>203</v>
      </c>
      <c r="H9" s="24">
        <v>27</v>
      </c>
      <c r="I9" s="23">
        <v>59</v>
      </c>
      <c r="J9" s="24">
        <v>18</v>
      </c>
      <c r="K9" s="23">
        <v>42</v>
      </c>
      <c r="L9" s="24">
        <v>9</v>
      </c>
      <c r="M9" s="23">
        <v>29</v>
      </c>
      <c r="N9" s="24">
        <v>112</v>
      </c>
      <c r="O9" s="23">
        <v>99</v>
      </c>
      <c r="P9" s="24">
        <v>78</v>
      </c>
      <c r="Q9" s="23">
        <v>78</v>
      </c>
      <c r="R9" s="24">
        <v>34</v>
      </c>
      <c r="S9" s="23">
        <v>58</v>
      </c>
      <c r="T9" s="24">
        <v>66</v>
      </c>
      <c r="U9" s="23">
        <v>93</v>
      </c>
      <c r="V9" s="24">
        <v>66</v>
      </c>
      <c r="W9" s="23">
        <v>93</v>
      </c>
      <c r="X9" s="24">
        <v>0</v>
      </c>
      <c r="Y9" s="20">
        <v>24</v>
      </c>
      <c r="Z9" s="19">
        <v>95</v>
      </c>
      <c r="AA9" s="23">
        <v>116</v>
      </c>
      <c r="AB9" s="24">
        <v>35</v>
      </c>
      <c r="AC9" s="23">
        <v>53</v>
      </c>
      <c r="AD9" s="24">
        <v>35</v>
      </c>
      <c r="AE9" s="23">
        <v>53</v>
      </c>
      <c r="AF9" s="24">
        <v>0</v>
      </c>
      <c r="AG9" s="23">
        <v>12</v>
      </c>
      <c r="AH9" s="24">
        <v>54</v>
      </c>
      <c r="AI9" s="23">
        <v>64</v>
      </c>
      <c r="AJ9" s="24">
        <v>54</v>
      </c>
      <c r="AK9" s="23">
        <v>64</v>
      </c>
      <c r="AL9" s="24">
        <v>0</v>
      </c>
      <c r="AM9" s="23">
        <v>12</v>
      </c>
      <c r="AN9" s="24">
        <v>6</v>
      </c>
      <c r="AO9" s="23">
        <v>13</v>
      </c>
      <c r="AP9" s="24">
        <v>6</v>
      </c>
      <c r="AQ9" s="23">
        <v>13</v>
      </c>
      <c r="AR9" s="24">
        <v>0</v>
      </c>
      <c r="AS9" s="20">
        <v>12</v>
      </c>
      <c r="AT9" s="19">
        <v>563</v>
      </c>
      <c r="AU9" s="23">
        <v>360</v>
      </c>
      <c r="AV9" s="24">
        <v>209</v>
      </c>
      <c r="AW9" s="23">
        <v>174</v>
      </c>
      <c r="AX9" s="24">
        <v>209</v>
      </c>
      <c r="AY9" s="23">
        <v>174</v>
      </c>
      <c r="AZ9" s="24">
        <v>0</v>
      </c>
      <c r="BA9" s="23">
        <v>12</v>
      </c>
      <c r="BB9" s="24">
        <v>288</v>
      </c>
      <c r="BC9" s="23">
        <v>174</v>
      </c>
      <c r="BD9" s="24">
        <v>264</v>
      </c>
      <c r="BE9" s="23">
        <v>173</v>
      </c>
      <c r="BF9" s="24">
        <v>24</v>
      </c>
      <c r="BG9" s="23">
        <v>37</v>
      </c>
      <c r="BH9" s="24">
        <v>66</v>
      </c>
      <c r="BI9" s="23">
        <v>70</v>
      </c>
      <c r="BJ9" s="24">
        <v>66</v>
      </c>
      <c r="BK9" s="23">
        <v>70</v>
      </c>
      <c r="BL9" s="24">
        <v>0</v>
      </c>
      <c r="BM9" s="20">
        <v>12</v>
      </c>
      <c r="BN9" s="19">
        <v>632</v>
      </c>
      <c r="BO9" s="23">
        <v>198</v>
      </c>
      <c r="BP9" s="24">
        <v>81</v>
      </c>
      <c r="BQ9" s="23">
        <v>68</v>
      </c>
      <c r="BR9" s="24">
        <v>81</v>
      </c>
      <c r="BS9" s="23">
        <v>68</v>
      </c>
      <c r="BT9" s="26">
        <v>0</v>
      </c>
      <c r="BU9" s="23">
        <v>12</v>
      </c>
      <c r="BV9" s="24">
        <v>491</v>
      </c>
      <c r="BW9" s="23">
        <v>157</v>
      </c>
      <c r="BX9" s="24">
        <v>459</v>
      </c>
      <c r="BY9" s="23">
        <v>147</v>
      </c>
      <c r="BZ9" s="24">
        <v>32</v>
      </c>
      <c r="CA9" s="23">
        <v>33</v>
      </c>
      <c r="CB9" s="24">
        <v>60</v>
      </c>
      <c r="CC9" s="23">
        <v>47</v>
      </c>
      <c r="CD9" s="24">
        <v>60</v>
      </c>
      <c r="CE9" s="23">
        <v>47</v>
      </c>
      <c r="CF9" s="24">
        <v>0</v>
      </c>
      <c r="CG9" s="20">
        <v>12</v>
      </c>
    </row>
    <row r="10" spans="1:86" x14ac:dyDescent="0.3">
      <c r="A10" t="s">
        <v>19</v>
      </c>
      <c r="B10">
        <v>20612</v>
      </c>
      <c r="C10" t="s">
        <v>20</v>
      </c>
      <c r="D10" s="19">
        <v>422</v>
      </c>
      <c r="E10" s="20">
        <v>240</v>
      </c>
      <c r="F10" s="19">
        <v>164</v>
      </c>
      <c r="G10" s="23">
        <v>232</v>
      </c>
      <c r="H10" s="24">
        <v>0</v>
      </c>
      <c r="I10" s="23">
        <v>24</v>
      </c>
      <c r="J10" s="24">
        <v>0</v>
      </c>
      <c r="K10" s="23">
        <v>24</v>
      </c>
      <c r="L10" s="24">
        <v>0</v>
      </c>
      <c r="M10" s="23">
        <v>24</v>
      </c>
      <c r="N10" s="24">
        <v>55</v>
      </c>
      <c r="O10" s="23">
        <v>102</v>
      </c>
      <c r="P10" s="24">
        <v>55</v>
      </c>
      <c r="Q10" s="23">
        <v>102</v>
      </c>
      <c r="R10" s="24">
        <v>0</v>
      </c>
      <c r="S10" s="23">
        <v>24</v>
      </c>
      <c r="T10" s="24">
        <v>109</v>
      </c>
      <c r="U10" s="23">
        <v>144</v>
      </c>
      <c r="V10" s="24">
        <v>109</v>
      </c>
      <c r="W10" s="23">
        <v>144</v>
      </c>
      <c r="X10" s="24">
        <v>0</v>
      </c>
      <c r="Y10" s="20">
        <v>24</v>
      </c>
      <c r="Z10" s="19">
        <v>0</v>
      </c>
      <c r="AA10" s="23">
        <v>12</v>
      </c>
      <c r="AB10" s="24">
        <v>0</v>
      </c>
      <c r="AC10" s="23">
        <v>12</v>
      </c>
      <c r="AD10" s="24">
        <v>0</v>
      </c>
      <c r="AE10" s="23">
        <v>12</v>
      </c>
      <c r="AF10" s="24">
        <v>0</v>
      </c>
      <c r="AG10" s="23">
        <v>12</v>
      </c>
      <c r="AH10" s="24">
        <v>0</v>
      </c>
      <c r="AI10" s="23">
        <v>12</v>
      </c>
      <c r="AJ10" s="24">
        <v>0</v>
      </c>
      <c r="AK10" s="23">
        <v>12</v>
      </c>
      <c r="AL10" s="24">
        <v>0</v>
      </c>
      <c r="AM10" s="23">
        <v>12</v>
      </c>
      <c r="AN10" s="24">
        <v>0</v>
      </c>
      <c r="AO10" s="23">
        <v>12</v>
      </c>
      <c r="AP10" s="24">
        <v>0</v>
      </c>
      <c r="AQ10" s="23">
        <v>12</v>
      </c>
      <c r="AR10" s="24">
        <v>0</v>
      </c>
      <c r="AS10" s="20">
        <v>12</v>
      </c>
      <c r="AT10" s="19">
        <v>61</v>
      </c>
      <c r="AU10" s="23">
        <v>68</v>
      </c>
      <c r="AV10" s="24">
        <v>0</v>
      </c>
      <c r="AW10" s="23">
        <v>12</v>
      </c>
      <c r="AX10" s="24">
        <v>0</v>
      </c>
      <c r="AY10" s="23">
        <v>12</v>
      </c>
      <c r="AZ10" s="24">
        <v>0</v>
      </c>
      <c r="BA10" s="23">
        <v>12</v>
      </c>
      <c r="BB10" s="24">
        <v>33</v>
      </c>
      <c r="BC10" s="23">
        <v>50</v>
      </c>
      <c r="BD10" s="24">
        <v>33</v>
      </c>
      <c r="BE10" s="23">
        <v>50</v>
      </c>
      <c r="BF10" s="24">
        <v>0</v>
      </c>
      <c r="BG10" s="23">
        <v>12</v>
      </c>
      <c r="BH10" s="24">
        <v>28</v>
      </c>
      <c r="BI10" s="23">
        <v>47</v>
      </c>
      <c r="BJ10" s="24">
        <v>28</v>
      </c>
      <c r="BK10" s="23">
        <v>47</v>
      </c>
      <c r="BL10" s="24">
        <v>0</v>
      </c>
      <c r="BM10" s="20">
        <v>12</v>
      </c>
      <c r="BN10" s="19">
        <v>197</v>
      </c>
      <c r="BO10" s="23">
        <v>204</v>
      </c>
      <c r="BP10" s="24">
        <v>0</v>
      </c>
      <c r="BQ10" s="23">
        <v>12</v>
      </c>
      <c r="BR10" s="24">
        <v>0</v>
      </c>
      <c r="BS10" s="23">
        <v>12</v>
      </c>
      <c r="BT10" s="26">
        <v>0</v>
      </c>
      <c r="BU10" s="23">
        <v>12</v>
      </c>
      <c r="BV10" s="24">
        <v>110</v>
      </c>
      <c r="BW10" s="23">
        <v>97</v>
      </c>
      <c r="BX10" s="24">
        <v>58</v>
      </c>
      <c r="BY10" s="23">
        <v>60</v>
      </c>
      <c r="BZ10" s="24">
        <v>52</v>
      </c>
      <c r="CA10" s="23">
        <v>79</v>
      </c>
      <c r="CB10" s="24">
        <v>87</v>
      </c>
      <c r="CC10" s="23">
        <v>119</v>
      </c>
      <c r="CD10" s="24">
        <v>87</v>
      </c>
      <c r="CE10" s="23">
        <v>119</v>
      </c>
      <c r="CF10" s="24">
        <v>0</v>
      </c>
      <c r="CG10" s="20">
        <v>12</v>
      </c>
    </row>
    <row r="11" spans="1:86" x14ac:dyDescent="0.3">
      <c r="A11" t="s">
        <v>21</v>
      </c>
      <c r="B11">
        <v>20613</v>
      </c>
      <c r="C11" t="s">
        <v>22</v>
      </c>
      <c r="D11" s="19">
        <v>13950</v>
      </c>
      <c r="E11" s="20">
        <v>869</v>
      </c>
      <c r="F11" s="19">
        <v>1042</v>
      </c>
      <c r="G11" s="23">
        <v>544</v>
      </c>
      <c r="H11" s="24">
        <v>226</v>
      </c>
      <c r="I11" s="23">
        <v>217</v>
      </c>
      <c r="J11" s="24">
        <v>159</v>
      </c>
      <c r="K11" s="23">
        <v>193</v>
      </c>
      <c r="L11" s="24">
        <v>67</v>
      </c>
      <c r="M11" s="23">
        <v>122</v>
      </c>
      <c r="N11" s="24">
        <v>640</v>
      </c>
      <c r="O11" s="23">
        <v>334</v>
      </c>
      <c r="P11" s="24">
        <v>473</v>
      </c>
      <c r="Q11" s="23">
        <v>280</v>
      </c>
      <c r="R11" s="24">
        <v>167</v>
      </c>
      <c r="S11" s="23">
        <v>135</v>
      </c>
      <c r="T11" s="24">
        <v>176</v>
      </c>
      <c r="U11" s="23">
        <v>132</v>
      </c>
      <c r="V11" s="24">
        <v>154</v>
      </c>
      <c r="W11" s="23">
        <v>116</v>
      </c>
      <c r="X11" s="24">
        <v>22</v>
      </c>
      <c r="Y11" s="20">
        <v>52</v>
      </c>
      <c r="Z11" s="19">
        <v>673</v>
      </c>
      <c r="AA11" s="23">
        <v>266</v>
      </c>
      <c r="AB11" s="24">
        <v>166</v>
      </c>
      <c r="AC11" s="23">
        <v>115</v>
      </c>
      <c r="AD11" s="24">
        <v>152</v>
      </c>
      <c r="AE11" s="23">
        <v>114</v>
      </c>
      <c r="AF11" s="24">
        <v>14</v>
      </c>
      <c r="AG11" s="23">
        <v>19</v>
      </c>
      <c r="AH11" s="24">
        <v>359</v>
      </c>
      <c r="AI11" s="23">
        <v>159</v>
      </c>
      <c r="AJ11" s="24">
        <v>264</v>
      </c>
      <c r="AK11" s="23">
        <v>107</v>
      </c>
      <c r="AL11" s="24">
        <v>95</v>
      </c>
      <c r="AM11" s="23">
        <v>96</v>
      </c>
      <c r="AN11" s="24">
        <v>148</v>
      </c>
      <c r="AO11" s="23">
        <v>76</v>
      </c>
      <c r="AP11" s="24">
        <v>148</v>
      </c>
      <c r="AQ11" s="23">
        <v>76</v>
      </c>
      <c r="AR11" s="24">
        <v>0</v>
      </c>
      <c r="AS11" s="20">
        <v>19</v>
      </c>
      <c r="AT11" s="19">
        <v>2605</v>
      </c>
      <c r="AU11" s="23">
        <v>567</v>
      </c>
      <c r="AV11" s="24">
        <v>708</v>
      </c>
      <c r="AW11" s="23">
        <v>229</v>
      </c>
      <c r="AX11" s="24">
        <v>708</v>
      </c>
      <c r="AY11" s="23">
        <v>229</v>
      </c>
      <c r="AZ11" s="24">
        <v>0</v>
      </c>
      <c r="BA11" s="23">
        <v>19</v>
      </c>
      <c r="BB11" s="24">
        <v>1524</v>
      </c>
      <c r="BC11" s="23">
        <v>359</v>
      </c>
      <c r="BD11" s="24">
        <v>1295</v>
      </c>
      <c r="BE11" s="23">
        <v>301</v>
      </c>
      <c r="BF11" s="24">
        <v>229</v>
      </c>
      <c r="BG11" s="23">
        <v>106</v>
      </c>
      <c r="BH11" s="24">
        <v>373</v>
      </c>
      <c r="BI11" s="23">
        <v>115</v>
      </c>
      <c r="BJ11" s="24">
        <v>373</v>
      </c>
      <c r="BK11" s="23">
        <v>115</v>
      </c>
      <c r="BL11" s="24">
        <v>0</v>
      </c>
      <c r="BM11" s="20">
        <v>19</v>
      </c>
      <c r="BN11" s="19">
        <v>9630</v>
      </c>
      <c r="BO11" s="23">
        <v>832</v>
      </c>
      <c r="BP11" s="24">
        <v>2138</v>
      </c>
      <c r="BQ11" s="23">
        <v>355</v>
      </c>
      <c r="BR11" s="24">
        <v>2105</v>
      </c>
      <c r="BS11" s="23">
        <v>340</v>
      </c>
      <c r="BT11" s="26">
        <v>33</v>
      </c>
      <c r="BU11" s="23">
        <v>54</v>
      </c>
      <c r="BV11" s="24">
        <v>6420</v>
      </c>
      <c r="BW11" s="23">
        <v>598</v>
      </c>
      <c r="BX11" s="24">
        <v>6221</v>
      </c>
      <c r="BY11" s="23">
        <v>578</v>
      </c>
      <c r="BZ11" s="24">
        <v>199</v>
      </c>
      <c r="CA11" s="23">
        <v>125</v>
      </c>
      <c r="CB11" s="24">
        <v>1072</v>
      </c>
      <c r="CC11" s="23">
        <v>231</v>
      </c>
      <c r="CD11" s="24">
        <v>1072</v>
      </c>
      <c r="CE11" s="23">
        <v>231</v>
      </c>
      <c r="CF11" s="24">
        <v>0</v>
      </c>
      <c r="CG11" s="20">
        <v>19</v>
      </c>
    </row>
    <row r="12" spans="1:86" x14ac:dyDescent="0.3">
      <c r="A12" t="s">
        <v>23</v>
      </c>
      <c r="B12">
        <v>20615</v>
      </c>
      <c r="C12" t="s">
        <v>24</v>
      </c>
      <c r="D12" s="19">
        <v>503</v>
      </c>
      <c r="E12" s="20">
        <v>394</v>
      </c>
      <c r="F12" s="19">
        <v>36</v>
      </c>
      <c r="G12" s="23">
        <v>69</v>
      </c>
      <c r="H12" s="24">
        <v>0</v>
      </c>
      <c r="I12" s="23">
        <v>24</v>
      </c>
      <c r="J12" s="24">
        <v>0</v>
      </c>
      <c r="K12" s="23">
        <v>24</v>
      </c>
      <c r="L12" s="24">
        <v>0</v>
      </c>
      <c r="M12" s="23">
        <v>24</v>
      </c>
      <c r="N12" s="24">
        <v>21</v>
      </c>
      <c r="O12" s="23">
        <v>45</v>
      </c>
      <c r="P12" s="24">
        <v>0</v>
      </c>
      <c r="Q12" s="23">
        <v>24</v>
      </c>
      <c r="R12" s="24">
        <v>21</v>
      </c>
      <c r="S12" s="23">
        <v>45</v>
      </c>
      <c r="T12" s="24">
        <v>15</v>
      </c>
      <c r="U12" s="23">
        <v>36</v>
      </c>
      <c r="V12" s="24">
        <v>15</v>
      </c>
      <c r="W12" s="23">
        <v>36</v>
      </c>
      <c r="X12" s="24">
        <v>0</v>
      </c>
      <c r="Y12" s="20">
        <v>24</v>
      </c>
      <c r="Z12" s="19">
        <v>75</v>
      </c>
      <c r="AA12" s="23">
        <v>86</v>
      </c>
      <c r="AB12" s="24">
        <v>0</v>
      </c>
      <c r="AC12" s="23">
        <v>12</v>
      </c>
      <c r="AD12" s="24">
        <v>0</v>
      </c>
      <c r="AE12" s="23">
        <v>12</v>
      </c>
      <c r="AF12" s="24">
        <v>0</v>
      </c>
      <c r="AG12" s="23">
        <v>12</v>
      </c>
      <c r="AH12" s="24">
        <v>52</v>
      </c>
      <c r="AI12" s="23">
        <v>58</v>
      </c>
      <c r="AJ12" s="24">
        <v>21</v>
      </c>
      <c r="AK12" s="23">
        <v>36</v>
      </c>
      <c r="AL12" s="24">
        <v>31</v>
      </c>
      <c r="AM12" s="23">
        <v>47</v>
      </c>
      <c r="AN12" s="24">
        <v>23</v>
      </c>
      <c r="AO12" s="23">
        <v>33</v>
      </c>
      <c r="AP12" s="24">
        <v>23</v>
      </c>
      <c r="AQ12" s="23">
        <v>33</v>
      </c>
      <c r="AR12" s="24">
        <v>0</v>
      </c>
      <c r="AS12" s="20">
        <v>12</v>
      </c>
      <c r="AT12" s="19">
        <v>0</v>
      </c>
      <c r="AU12" s="23">
        <v>12</v>
      </c>
      <c r="AV12" s="24">
        <v>0</v>
      </c>
      <c r="AW12" s="23">
        <v>12</v>
      </c>
      <c r="AX12" s="24">
        <v>0</v>
      </c>
      <c r="AY12" s="23">
        <v>12</v>
      </c>
      <c r="AZ12" s="24">
        <v>0</v>
      </c>
      <c r="BA12" s="23">
        <v>12</v>
      </c>
      <c r="BB12" s="24">
        <v>0</v>
      </c>
      <c r="BC12" s="23">
        <v>12</v>
      </c>
      <c r="BD12" s="24">
        <v>0</v>
      </c>
      <c r="BE12" s="23">
        <v>12</v>
      </c>
      <c r="BF12" s="24">
        <v>0</v>
      </c>
      <c r="BG12" s="23">
        <v>12</v>
      </c>
      <c r="BH12" s="24">
        <v>0</v>
      </c>
      <c r="BI12" s="23">
        <v>12</v>
      </c>
      <c r="BJ12" s="24">
        <v>0</v>
      </c>
      <c r="BK12" s="23">
        <v>12</v>
      </c>
      <c r="BL12" s="24">
        <v>0</v>
      </c>
      <c r="BM12" s="20">
        <v>12</v>
      </c>
      <c r="BN12" s="19">
        <v>392</v>
      </c>
      <c r="BO12" s="23">
        <v>391</v>
      </c>
      <c r="BP12" s="24">
        <v>128</v>
      </c>
      <c r="BQ12" s="23">
        <v>193</v>
      </c>
      <c r="BR12" s="24">
        <v>128</v>
      </c>
      <c r="BS12" s="23">
        <v>193</v>
      </c>
      <c r="BT12" s="26">
        <v>0</v>
      </c>
      <c r="BU12" s="23">
        <v>12</v>
      </c>
      <c r="BV12" s="24">
        <v>251</v>
      </c>
      <c r="BW12" s="23">
        <v>206</v>
      </c>
      <c r="BX12" s="24">
        <v>251</v>
      </c>
      <c r="BY12" s="23">
        <v>206</v>
      </c>
      <c r="BZ12" s="24">
        <v>0</v>
      </c>
      <c r="CA12" s="23">
        <v>12</v>
      </c>
      <c r="CB12" s="24">
        <v>13</v>
      </c>
      <c r="CC12" s="23">
        <v>21</v>
      </c>
      <c r="CD12" s="24">
        <v>13</v>
      </c>
      <c r="CE12" s="23">
        <v>21</v>
      </c>
      <c r="CF12" s="24">
        <v>0</v>
      </c>
      <c r="CG12" s="20">
        <v>12</v>
      </c>
    </row>
    <row r="13" spans="1:86" x14ac:dyDescent="0.3">
      <c r="A13" t="s">
        <v>25</v>
      </c>
      <c r="B13">
        <v>20616</v>
      </c>
      <c r="C13" t="s">
        <v>26</v>
      </c>
      <c r="D13" s="19">
        <v>6200</v>
      </c>
      <c r="E13" s="20">
        <v>566</v>
      </c>
      <c r="F13" s="19">
        <v>556</v>
      </c>
      <c r="G13" s="23">
        <v>342</v>
      </c>
      <c r="H13" s="24">
        <v>147</v>
      </c>
      <c r="I13" s="23">
        <v>150</v>
      </c>
      <c r="J13" s="24">
        <v>147</v>
      </c>
      <c r="K13" s="23">
        <v>150</v>
      </c>
      <c r="L13" s="24">
        <v>0</v>
      </c>
      <c r="M13" s="23">
        <v>34</v>
      </c>
      <c r="N13" s="24">
        <v>356</v>
      </c>
      <c r="O13" s="23">
        <v>213</v>
      </c>
      <c r="P13" s="24">
        <v>257</v>
      </c>
      <c r="Q13" s="23">
        <v>186</v>
      </c>
      <c r="R13" s="24">
        <v>99</v>
      </c>
      <c r="S13" s="23">
        <v>95</v>
      </c>
      <c r="T13" s="24">
        <v>53</v>
      </c>
      <c r="U13" s="23">
        <v>69</v>
      </c>
      <c r="V13" s="24">
        <v>53</v>
      </c>
      <c r="W13" s="23">
        <v>69</v>
      </c>
      <c r="X13" s="24">
        <v>0</v>
      </c>
      <c r="Y13" s="20">
        <v>34</v>
      </c>
      <c r="Z13" s="19">
        <v>306</v>
      </c>
      <c r="AA13" s="23">
        <v>211</v>
      </c>
      <c r="AB13" s="24">
        <v>107</v>
      </c>
      <c r="AC13" s="23">
        <v>105</v>
      </c>
      <c r="AD13" s="24">
        <v>107</v>
      </c>
      <c r="AE13" s="23">
        <v>105</v>
      </c>
      <c r="AF13" s="24">
        <v>0</v>
      </c>
      <c r="AG13" s="23">
        <v>17</v>
      </c>
      <c r="AH13" s="24">
        <v>112</v>
      </c>
      <c r="AI13" s="23">
        <v>91</v>
      </c>
      <c r="AJ13" s="24">
        <v>91</v>
      </c>
      <c r="AK13" s="23">
        <v>83</v>
      </c>
      <c r="AL13" s="24">
        <v>21</v>
      </c>
      <c r="AM13" s="23">
        <v>33</v>
      </c>
      <c r="AN13" s="24">
        <v>87</v>
      </c>
      <c r="AO13" s="23">
        <v>85</v>
      </c>
      <c r="AP13" s="24">
        <v>87</v>
      </c>
      <c r="AQ13" s="23">
        <v>85</v>
      </c>
      <c r="AR13" s="24">
        <v>0</v>
      </c>
      <c r="AS13" s="20">
        <v>17</v>
      </c>
      <c r="AT13" s="19">
        <v>1845</v>
      </c>
      <c r="AU13" s="23">
        <v>569</v>
      </c>
      <c r="AV13" s="24">
        <v>574</v>
      </c>
      <c r="AW13" s="23">
        <v>233</v>
      </c>
      <c r="AX13" s="24">
        <v>574</v>
      </c>
      <c r="AY13" s="23">
        <v>233</v>
      </c>
      <c r="AZ13" s="24">
        <v>0</v>
      </c>
      <c r="BA13" s="23">
        <v>17</v>
      </c>
      <c r="BB13" s="24">
        <v>1041</v>
      </c>
      <c r="BC13" s="23">
        <v>292</v>
      </c>
      <c r="BD13" s="24">
        <v>952</v>
      </c>
      <c r="BE13" s="23">
        <v>255</v>
      </c>
      <c r="BF13" s="24">
        <v>89</v>
      </c>
      <c r="BG13" s="23">
        <v>100</v>
      </c>
      <c r="BH13" s="24">
        <v>230</v>
      </c>
      <c r="BI13" s="23">
        <v>137</v>
      </c>
      <c r="BJ13" s="24">
        <v>230</v>
      </c>
      <c r="BK13" s="23">
        <v>137</v>
      </c>
      <c r="BL13" s="24">
        <v>0</v>
      </c>
      <c r="BM13" s="20">
        <v>17</v>
      </c>
      <c r="BN13" s="19">
        <v>3493</v>
      </c>
      <c r="BO13" s="23">
        <v>528</v>
      </c>
      <c r="BP13" s="24">
        <v>796</v>
      </c>
      <c r="BQ13" s="23">
        <v>262</v>
      </c>
      <c r="BR13" s="24">
        <v>788</v>
      </c>
      <c r="BS13" s="23">
        <v>261</v>
      </c>
      <c r="BT13" s="26">
        <v>8</v>
      </c>
      <c r="BU13" s="23">
        <v>14</v>
      </c>
      <c r="BV13" s="24">
        <v>2365</v>
      </c>
      <c r="BW13" s="23">
        <v>342</v>
      </c>
      <c r="BX13" s="24">
        <v>2199</v>
      </c>
      <c r="BY13" s="23">
        <v>315</v>
      </c>
      <c r="BZ13" s="24">
        <v>166</v>
      </c>
      <c r="CA13" s="23">
        <v>159</v>
      </c>
      <c r="CB13" s="24">
        <v>332</v>
      </c>
      <c r="CC13" s="23">
        <v>95</v>
      </c>
      <c r="CD13" s="24">
        <v>332</v>
      </c>
      <c r="CE13" s="23">
        <v>95</v>
      </c>
      <c r="CF13" s="24">
        <v>0</v>
      </c>
      <c r="CG13" s="20">
        <v>17</v>
      </c>
    </row>
    <row r="14" spans="1:86" x14ac:dyDescent="0.3">
      <c r="A14" t="s">
        <v>27</v>
      </c>
      <c r="B14">
        <v>20617</v>
      </c>
      <c r="C14" t="s">
        <v>28</v>
      </c>
      <c r="D14" s="19">
        <v>748</v>
      </c>
      <c r="E14" s="20">
        <v>224</v>
      </c>
      <c r="F14" s="19">
        <v>57</v>
      </c>
      <c r="G14" s="23">
        <v>78</v>
      </c>
      <c r="H14" s="24">
        <v>26</v>
      </c>
      <c r="I14" s="23">
        <v>54</v>
      </c>
      <c r="J14" s="24">
        <v>26</v>
      </c>
      <c r="K14" s="23">
        <v>54</v>
      </c>
      <c r="L14" s="24">
        <v>0</v>
      </c>
      <c r="M14" s="23">
        <v>24</v>
      </c>
      <c r="N14" s="24">
        <v>21</v>
      </c>
      <c r="O14" s="23">
        <v>37</v>
      </c>
      <c r="P14" s="24">
        <v>21</v>
      </c>
      <c r="Q14" s="23">
        <v>37</v>
      </c>
      <c r="R14" s="24">
        <v>0</v>
      </c>
      <c r="S14" s="23">
        <v>24</v>
      </c>
      <c r="T14" s="24">
        <v>10</v>
      </c>
      <c r="U14" s="23">
        <v>28</v>
      </c>
      <c r="V14" s="24">
        <v>10</v>
      </c>
      <c r="W14" s="23">
        <v>28</v>
      </c>
      <c r="X14" s="24">
        <v>0</v>
      </c>
      <c r="Y14" s="20">
        <v>24</v>
      </c>
      <c r="Z14" s="19">
        <v>115</v>
      </c>
      <c r="AA14" s="23">
        <v>124</v>
      </c>
      <c r="AB14" s="24">
        <v>28</v>
      </c>
      <c r="AC14" s="23">
        <v>37</v>
      </c>
      <c r="AD14" s="24">
        <v>28</v>
      </c>
      <c r="AE14" s="23">
        <v>37</v>
      </c>
      <c r="AF14" s="24">
        <v>0</v>
      </c>
      <c r="AG14" s="23">
        <v>12</v>
      </c>
      <c r="AH14" s="24">
        <v>65</v>
      </c>
      <c r="AI14" s="23">
        <v>84</v>
      </c>
      <c r="AJ14" s="24">
        <v>65</v>
      </c>
      <c r="AK14" s="23">
        <v>84</v>
      </c>
      <c r="AL14" s="24">
        <v>0</v>
      </c>
      <c r="AM14" s="23">
        <v>12</v>
      </c>
      <c r="AN14" s="24">
        <v>22</v>
      </c>
      <c r="AO14" s="23">
        <v>24</v>
      </c>
      <c r="AP14" s="24">
        <v>22</v>
      </c>
      <c r="AQ14" s="23">
        <v>24</v>
      </c>
      <c r="AR14" s="24">
        <v>0</v>
      </c>
      <c r="AS14" s="20">
        <v>12</v>
      </c>
      <c r="AT14" s="19">
        <v>118</v>
      </c>
      <c r="AU14" s="23">
        <v>108</v>
      </c>
      <c r="AV14" s="24">
        <v>38</v>
      </c>
      <c r="AW14" s="23">
        <v>60</v>
      </c>
      <c r="AX14" s="24">
        <v>38</v>
      </c>
      <c r="AY14" s="23">
        <v>60</v>
      </c>
      <c r="AZ14" s="24">
        <v>0</v>
      </c>
      <c r="BA14" s="23">
        <v>12</v>
      </c>
      <c r="BB14" s="24">
        <v>18</v>
      </c>
      <c r="BC14" s="23">
        <v>28</v>
      </c>
      <c r="BD14" s="24">
        <v>18</v>
      </c>
      <c r="BE14" s="23">
        <v>28</v>
      </c>
      <c r="BF14" s="24">
        <v>0</v>
      </c>
      <c r="BG14" s="23">
        <v>12</v>
      </c>
      <c r="BH14" s="24">
        <v>62</v>
      </c>
      <c r="BI14" s="23">
        <v>59</v>
      </c>
      <c r="BJ14" s="24">
        <v>62</v>
      </c>
      <c r="BK14" s="23">
        <v>59</v>
      </c>
      <c r="BL14" s="24">
        <v>0</v>
      </c>
      <c r="BM14" s="20">
        <v>12</v>
      </c>
      <c r="BN14" s="19">
        <v>458</v>
      </c>
      <c r="BO14" s="23">
        <v>192</v>
      </c>
      <c r="BP14" s="24">
        <v>76</v>
      </c>
      <c r="BQ14" s="23">
        <v>63</v>
      </c>
      <c r="BR14" s="24">
        <v>76</v>
      </c>
      <c r="BS14" s="23">
        <v>63</v>
      </c>
      <c r="BT14" s="26">
        <v>0</v>
      </c>
      <c r="BU14" s="23">
        <v>12</v>
      </c>
      <c r="BV14" s="24">
        <v>186</v>
      </c>
      <c r="BW14" s="23">
        <v>99</v>
      </c>
      <c r="BX14" s="24">
        <v>186</v>
      </c>
      <c r="BY14" s="23">
        <v>99</v>
      </c>
      <c r="BZ14" s="24">
        <v>0</v>
      </c>
      <c r="CA14" s="23">
        <v>12</v>
      </c>
      <c r="CB14" s="24">
        <v>196</v>
      </c>
      <c r="CC14" s="23">
        <v>139</v>
      </c>
      <c r="CD14" s="24">
        <v>196</v>
      </c>
      <c r="CE14" s="23">
        <v>139</v>
      </c>
      <c r="CF14" s="24">
        <v>0</v>
      </c>
      <c r="CG14" s="20">
        <v>12</v>
      </c>
    </row>
    <row r="15" spans="1:86" x14ac:dyDescent="0.3">
      <c r="A15" t="s">
        <v>29</v>
      </c>
      <c r="B15">
        <v>20618</v>
      </c>
      <c r="C15" t="s">
        <v>30</v>
      </c>
      <c r="D15" s="19">
        <v>384</v>
      </c>
      <c r="E15" s="20">
        <v>143</v>
      </c>
      <c r="F15" s="19">
        <v>16</v>
      </c>
      <c r="G15" s="23">
        <v>31</v>
      </c>
      <c r="H15" s="24">
        <v>4</v>
      </c>
      <c r="I15" s="23">
        <v>22</v>
      </c>
      <c r="J15" s="24">
        <v>4</v>
      </c>
      <c r="K15" s="23">
        <v>22</v>
      </c>
      <c r="L15" s="24">
        <v>0</v>
      </c>
      <c r="M15" s="23">
        <v>24</v>
      </c>
      <c r="N15" s="24">
        <v>0</v>
      </c>
      <c r="O15" s="23">
        <v>24</v>
      </c>
      <c r="P15" s="24">
        <v>0</v>
      </c>
      <c r="Q15" s="23">
        <v>24</v>
      </c>
      <c r="R15" s="24">
        <v>0</v>
      </c>
      <c r="S15" s="23">
        <v>24</v>
      </c>
      <c r="T15" s="24">
        <v>12</v>
      </c>
      <c r="U15" s="23">
        <v>33</v>
      </c>
      <c r="V15" s="24">
        <v>12</v>
      </c>
      <c r="W15" s="23">
        <v>33</v>
      </c>
      <c r="X15" s="24">
        <v>0</v>
      </c>
      <c r="Y15" s="20">
        <v>24</v>
      </c>
      <c r="Z15" s="19">
        <v>9</v>
      </c>
      <c r="AA15" s="23">
        <v>19</v>
      </c>
      <c r="AB15" s="24">
        <v>5</v>
      </c>
      <c r="AC15" s="23">
        <v>10</v>
      </c>
      <c r="AD15" s="24">
        <v>5</v>
      </c>
      <c r="AE15" s="23">
        <v>10</v>
      </c>
      <c r="AF15" s="24">
        <v>0</v>
      </c>
      <c r="AG15" s="23">
        <v>12</v>
      </c>
      <c r="AH15" s="24">
        <v>4</v>
      </c>
      <c r="AI15" s="23">
        <v>9</v>
      </c>
      <c r="AJ15" s="24">
        <v>0</v>
      </c>
      <c r="AK15" s="23">
        <v>12</v>
      </c>
      <c r="AL15" s="24">
        <v>4</v>
      </c>
      <c r="AM15" s="23">
        <v>9</v>
      </c>
      <c r="AN15" s="24">
        <v>0</v>
      </c>
      <c r="AO15" s="23">
        <v>12</v>
      </c>
      <c r="AP15" s="24">
        <v>0</v>
      </c>
      <c r="AQ15" s="23">
        <v>12</v>
      </c>
      <c r="AR15" s="24">
        <v>0</v>
      </c>
      <c r="AS15" s="20">
        <v>12</v>
      </c>
      <c r="AT15" s="19">
        <v>30</v>
      </c>
      <c r="AU15" s="23">
        <v>33</v>
      </c>
      <c r="AV15" s="24">
        <v>0</v>
      </c>
      <c r="AW15" s="23">
        <v>12</v>
      </c>
      <c r="AX15" s="24">
        <v>0</v>
      </c>
      <c r="AY15" s="23">
        <v>12</v>
      </c>
      <c r="AZ15" s="24">
        <v>0</v>
      </c>
      <c r="BA15" s="23">
        <v>12</v>
      </c>
      <c r="BB15" s="24">
        <v>23</v>
      </c>
      <c r="BC15" s="23">
        <v>26</v>
      </c>
      <c r="BD15" s="24">
        <v>23</v>
      </c>
      <c r="BE15" s="23">
        <v>26</v>
      </c>
      <c r="BF15" s="24">
        <v>0</v>
      </c>
      <c r="BG15" s="23">
        <v>12</v>
      </c>
      <c r="BH15" s="24">
        <v>7</v>
      </c>
      <c r="BI15" s="23">
        <v>12</v>
      </c>
      <c r="BJ15" s="24">
        <v>7</v>
      </c>
      <c r="BK15" s="23">
        <v>12</v>
      </c>
      <c r="BL15" s="24">
        <v>0</v>
      </c>
      <c r="BM15" s="20">
        <v>12</v>
      </c>
      <c r="BN15" s="19">
        <v>329</v>
      </c>
      <c r="BO15" s="23">
        <v>138</v>
      </c>
      <c r="BP15" s="24">
        <v>28</v>
      </c>
      <c r="BQ15" s="23">
        <v>37</v>
      </c>
      <c r="BR15" s="24">
        <v>28</v>
      </c>
      <c r="BS15" s="23">
        <v>37</v>
      </c>
      <c r="BT15" s="26">
        <v>0</v>
      </c>
      <c r="BU15" s="23">
        <v>12</v>
      </c>
      <c r="BV15" s="24">
        <v>248</v>
      </c>
      <c r="BW15" s="23">
        <v>126</v>
      </c>
      <c r="BX15" s="24">
        <v>248</v>
      </c>
      <c r="BY15" s="23">
        <v>126</v>
      </c>
      <c r="BZ15" s="24">
        <v>0</v>
      </c>
      <c r="CA15" s="23">
        <v>12</v>
      </c>
      <c r="CB15" s="24">
        <v>53</v>
      </c>
      <c r="CC15" s="23">
        <v>35</v>
      </c>
      <c r="CD15" s="24">
        <v>53</v>
      </c>
      <c r="CE15" s="23">
        <v>35</v>
      </c>
      <c r="CF15" s="24">
        <v>0</v>
      </c>
      <c r="CG15" s="20">
        <v>12</v>
      </c>
    </row>
    <row r="16" spans="1:86" x14ac:dyDescent="0.3">
      <c r="A16" t="s">
        <v>31</v>
      </c>
      <c r="B16">
        <v>20619</v>
      </c>
      <c r="C16" t="s">
        <v>32</v>
      </c>
      <c r="D16" s="19">
        <v>12196</v>
      </c>
      <c r="E16" s="20">
        <v>1047</v>
      </c>
      <c r="F16" s="19">
        <v>833</v>
      </c>
      <c r="G16" s="23">
        <v>544</v>
      </c>
      <c r="H16" s="24">
        <v>300</v>
      </c>
      <c r="I16" s="23">
        <v>327</v>
      </c>
      <c r="J16" s="24">
        <v>129</v>
      </c>
      <c r="K16" s="23">
        <v>150</v>
      </c>
      <c r="L16" s="24">
        <v>171</v>
      </c>
      <c r="M16" s="23">
        <v>261</v>
      </c>
      <c r="N16" s="24">
        <v>458</v>
      </c>
      <c r="O16" s="23">
        <v>273</v>
      </c>
      <c r="P16" s="24">
        <v>346</v>
      </c>
      <c r="Q16" s="23">
        <v>224</v>
      </c>
      <c r="R16" s="24">
        <v>112</v>
      </c>
      <c r="S16" s="23">
        <v>129</v>
      </c>
      <c r="T16" s="24">
        <v>75</v>
      </c>
      <c r="U16" s="23">
        <v>58</v>
      </c>
      <c r="V16" s="24">
        <v>75</v>
      </c>
      <c r="W16" s="23">
        <v>58</v>
      </c>
      <c r="X16" s="24">
        <v>0</v>
      </c>
      <c r="Y16" s="20">
        <v>38</v>
      </c>
      <c r="Z16" s="19">
        <v>1359</v>
      </c>
      <c r="AA16" s="23">
        <v>659</v>
      </c>
      <c r="AB16" s="24">
        <v>774</v>
      </c>
      <c r="AC16" s="23">
        <v>448</v>
      </c>
      <c r="AD16" s="24">
        <v>774</v>
      </c>
      <c r="AE16" s="23">
        <v>448</v>
      </c>
      <c r="AF16" s="24">
        <v>0</v>
      </c>
      <c r="AG16" s="23">
        <v>19</v>
      </c>
      <c r="AH16" s="24">
        <v>481</v>
      </c>
      <c r="AI16" s="23">
        <v>236</v>
      </c>
      <c r="AJ16" s="24">
        <v>446</v>
      </c>
      <c r="AK16" s="23">
        <v>232</v>
      </c>
      <c r="AL16" s="24">
        <v>35</v>
      </c>
      <c r="AM16" s="23">
        <v>48</v>
      </c>
      <c r="AN16" s="24">
        <v>104</v>
      </c>
      <c r="AO16" s="23">
        <v>73</v>
      </c>
      <c r="AP16" s="24">
        <v>104</v>
      </c>
      <c r="AQ16" s="23">
        <v>73</v>
      </c>
      <c r="AR16" s="24">
        <v>0</v>
      </c>
      <c r="AS16" s="20">
        <v>19</v>
      </c>
      <c r="AT16" s="19">
        <v>3125</v>
      </c>
      <c r="AU16" s="23">
        <v>664</v>
      </c>
      <c r="AV16" s="24">
        <v>1219</v>
      </c>
      <c r="AW16" s="23">
        <v>356</v>
      </c>
      <c r="AX16" s="24">
        <v>1188</v>
      </c>
      <c r="AY16" s="23">
        <v>348</v>
      </c>
      <c r="AZ16" s="24">
        <v>31</v>
      </c>
      <c r="BA16" s="23">
        <v>53</v>
      </c>
      <c r="BB16" s="24">
        <v>1690</v>
      </c>
      <c r="BC16" s="23">
        <v>393</v>
      </c>
      <c r="BD16" s="24">
        <v>1626</v>
      </c>
      <c r="BE16" s="23">
        <v>381</v>
      </c>
      <c r="BF16" s="24">
        <v>64</v>
      </c>
      <c r="BG16" s="23">
        <v>62</v>
      </c>
      <c r="BH16" s="24">
        <v>216</v>
      </c>
      <c r="BI16" s="23">
        <v>93</v>
      </c>
      <c r="BJ16" s="24">
        <v>216</v>
      </c>
      <c r="BK16" s="23">
        <v>93</v>
      </c>
      <c r="BL16" s="24">
        <v>0</v>
      </c>
      <c r="BM16" s="20">
        <v>19</v>
      </c>
      <c r="BN16" s="19">
        <v>6879</v>
      </c>
      <c r="BO16" s="23">
        <v>839</v>
      </c>
      <c r="BP16" s="24">
        <v>1549</v>
      </c>
      <c r="BQ16" s="23">
        <v>380</v>
      </c>
      <c r="BR16" s="24">
        <v>1540</v>
      </c>
      <c r="BS16" s="23">
        <v>380</v>
      </c>
      <c r="BT16" s="26">
        <v>9</v>
      </c>
      <c r="BU16" s="23">
        <v>15</v>
      </c>
      <c r="BV16" s="24">
        <v>4927</v>
      </c>
      <c r="BW16" s="23">
        <v>529</v>
      </c>
      <c r="BX16" s="24">
        <v>4787</v>
      </c>
      <c r="BY16" s="23">
        <v>525</v>
      </c>
      <c r="BZ16" s="24">
        <v>140</v>
      </c>
      <c r="CA16" s="23">
        <v>96</v>
      </c>
      <c r="CB16" s="24">
        <v>403</v>
      </c>
      <c r="CC16" s="23">
        <v>146</v>
      </c>
      <c r="CD16" s="24">
        <v>403</v>
      </c>
      <c r="CE16" s="23">
        <v>146</v>
      </c>
      <c r="CF16" s="24">
        <v>0</v>
      </c>
      <c r="CG16" s="20">
        <v>19</v>
      </c>
    </row>
    <row r="17" spans="1:85" x14ac:dyDescent="0.3">
      <c r="A17" t="s">
        <v>33</v>
      </c>
      <c r="B17">
        <v>20620</v>
      </c>
      <c r="C17" t="s">
        <v>34</v>
      </c>
      <c r="D17" s="19">
        <v>1426</v>
      </c>
      <c r="E17" s="20">
        <v>498</v>
      </c>
      <c r="F17" s="19">
        <v>352</v>
      </c>
      <c r="G17" s="23">
        <v>281</v>
      </c>
      <c r="H17" s="24">
        <v>46</v>
      </c>
      <c r="I17" s="23">
        <v>74</v>
      </c>
      <c r="J17" s="24">
        <v>12</v>
      </c>
      <c r="K17" s="23">
        <v>31</v>
      </c>
      <c r="L17" s="24">
        <v>34</v>
      </c>
      <c r="M17" s="23">
        <v>67</v>
      </c>
      <c r="N17" s="24">
        <v>241</v>
      </c>
      <c r="O17" s="23">
        <v>237</v>
      </c>
      <c r="P17" s="24">
        <v>228</v>
      </c>
      <c r="Q17" s="23">
        <v>234</v>
      </c>
      <c r="R17" s="24">
        <v>13</v>
      </c>
      <c r="S17" s="23">
        <v>35</v>
      </c>
      <c r="T17" s="24">
        <v>65</v>
      </c>
      <c r="U17" s="23">
        <v>97</v>
      </c>
      <c r="V17" s="24">
        <v>65</v>
      </c>
      <c r="W17" s="23">
        <v>97</v>
      </c>
      <c r="X17" s="24">
        <v>0</v>
      </c>
      <c r="Y17" s="20">
        <v>24</v>
      </c>
      <c r="Z17" s="19">
        <v>65</v>
      </c>
      <c r="AA17" s="23">
        <v>76</v>
      </c>
      <c r="AB17" s="24">
        <v>0</v>
      </c>
      <c r="AC17" s="23">
        <v>12</v>
      </c>
      <c r="AD17" s="24">
        <v>0</v>
      </c>
      <c r="AE17" s="23">
        <v>12</v>
      </c>
      <c r="AF17" s="24">
        <v>0</v>
      </c>
      <c r="AG17" s="23">
        <v>12</v>
      </c>
      <c r="AH17" s="24">
        <v>65</v>
      </c>
      <c r="AI17" s="23">
        <v>76</v>
      </c>
      <c r="AJ17" s="24">
        <v>65</v>
      </c>
      <c r="AK17" s="23">
        <v>76</v>
      </c>
      <c r="AL17" s="24">
        <v>0</v>
      </c>
      <c r="AM17" s="23">
        <v>12</v>
      </c>
      <c r="AN17" s="24">
        <v>0</v>
      </c>
      <c r="AO17" s="23">
        <v>12</v>
      </c>
      <c r="AP17" s="24">
        <v>0</v>
      </c>
      <c r="AQ17" s="23">
        <v>12</v>
      </c>
      <c r="AR17" s="24">
        <v>0</v>
      </c>
      <c r="AS17" s="20">
        <v>12</v>
      </c>
      <c r="AT17" s="19">
        <v>116</v>
      </c>
      <c r="AU17" s="23">
        <v>120</v>
      </c>
      <c r="AV17" s="24">
        <v>0</v>
      </c>
      <c r="AW17" s="23">
        <v>12</v>
      </c>
      <c r="AX17" s="24">
        <v>0</v>
      </c>
      <c r="AY17" s="23">
        <v>12</v>
      </c>
      <c r="AZ17" s="24">
        <v>0</v>
      </c>
      <c r="BA17" s="23">
        <v>12</v>
      </c>
      <c r="BB17" s="24">
        <v>84</v>
      </c>
      <c r="BC17" s="23">
        <v>77</v>
      </c>
      <c r="BD17" s="24">
        <v>84</v>
      </c>
      <c r="BE17" s="23">
        <v>77</v>
      </c>
      <c r="BF17" s="24">
        <v>0</v>
      </c>
      <c r="BG17" s="23">
        <v>12</v>
      </c>
      <c r="BH17" s="24">
        <v>32</v>
      </c>
      <c r="BI17" s="23">
        <v>49</v>
      </c>
      <c r="BJ17" s="24">
        <v>32</v>
      </c>
      <c r="BK17" s="23">
        <v>49</v>
      </c>
      <c r="BL17" s="24">
        <v>0</v>
      </c>
      <c r="BM17" s="20">
        <v>12</v>
      </c>
      <c r="BN17" s="19">
        <v>893</v>
      </c>
      <c r="BO17" s="23">
        <v>402</v>
      </c>
      <c r="BP17" s="24">
        <v>220</v>
      </c>
      <c r="BQ17" s="23">
        <v>196</v>
      </c>
      <c r="BR17" s="24">
        <v>220</v>
      </c>
      <c r="BS17" s="23">
        <v>196</v>
      </c>
      <c r="BT17" s="26">
        <v>0</v>
      </c>
      <c r="BU17" s="23">
        <v>12</v>
      </c>
      <c r="BV17" s="24">
        <v>508</v>
      </c>
      <c r="BW17" s="23">
        <v>186</v>
      </c>
      <c r="BX17" s="24">
        <v>508</v>
      </c>
      <c r="BY17" s="23">
        <v>186</v>
      </c>
      <c r="BZ17" s="24">
        <v>0</v>
      </c>
      <c r="CA17" s="23">
        <v>12</v>
      </c>
      <c r="CB17" s="24">
        <v>165</v>
      </c>
      <c r="CC17" s="23">
        <v>145</v>
      </c>
      <c r="CD17" s="24">
        <v>165</v>
      </c>
      <c r="CE17" s="23">
        <v>145</v>
      </c>
      <c r="CF17" s="24">
        <v>0</v>
      </c>
      <c r="CG17" s="20">
        <v>12</v>
      </c>
    </row>
    <row r="18" spans="1:85" x14ac:dyDescent="0.3">
      <c r="A18" t="s">
        <v>35</v>
      </c>
      <c r="B18">
        <v>20621</v>
      </c>
      <c r="C18" t="s">
        <v>36</v>
      </c>
      <c r="D18" s="19">
        <v>1043</v>
      </c>
      <c r="E18" s="20">
        <v>336</v>
      </c>
      <c r="F18" s="19">
        <v>166</v>
      </c>
      <c r="G18" s="23">
        <v>176</v>
      </c>
      <c r="H18" s="24">
        <v>67</v>
      </c>
      <c r="I18" s="23">
        <v>101</v>
      </c>
      <c r="J18" s="24">
        <v>67</v>
      </c>
      <c r="K18" s="23">
        <v>101</v>
      </c>
      <c r="L18" s="24">
        <v>0</v>
      </c>
      <c r="M18" s="23">
        <v>24</v>
      </c>
      <c r="N18" s="24">
        <v>41</v>
      </c>
      <c r="O18" s="23">
        <v>66</v>
      </c>
      <c r="P18" s="24">
        <v>15</v>
      </c>
      <c r="Q18" s="23">
        <v>34</v>
      </c>
      <c r="R18" s="24">
        <v>26</v>
      </c>
      <c r="S18" s="23">
        <v>54</v>
      </c>
      <c r="T18" s="24">
        <v>58</v>
      </c>
      <c r="U18" s="23">
        <v>66</v>
      </c>
      <c r="V18" s="24">
        <v>58</v>
      </c>
      <c r="W18" s="23">
        <v>66</v>
      </c>
      <c r="X18" s="24">
        <v>0</v>
      </c>
      <c r="Y18" s="20">
        <v>24</v>
      </c>
      <c r="Z18" s="19">
        <v>93</v>
      </c>
      <c r="AA18" s="23">
        <v>120</v>
      </c>
      <c r="AB18" s="24">
        <v>58</v>
      </c>
      <c r="AC18" s="23">
        <v>73</v>
      </c>
      <c r="AD18" s="24">
        <v>58</v>
      </c>
      <c r="AE18" s="23">
        <v>73</v>
      </c>
      <c r="AF18" s="24">
        <v>0</v>
      </c>
      <c r="AG18" s="23">
        <v>12</v>
      </c>
      <c r="AH18" s="24">
        <v>35</v>
      </c>
      <c r="AI18" s="23">
        <v>48</v>
      </c>
      <c r="AJ18" s="24">
        <v>35</v>
      </c>
      <c r="AK18" s="23">
        <v>48</v>
      </c>
      <c r="AL18" s="24">
        <v>0</v>
      </c>
      <c r="AM18" s="23">
        <v>12</v>
      </c>
      <c r="AN18" s="24">
        <v>0</v>
      </c>
      <c r="AO18" s="23">
        <v>12</v>
      </c>
      <c r="AP18" s="24">
        <v>0</v>
      </c>
      <c r="AQ18" s="23">
        <v>12</v>
      </c>
      <c r="AR18" s="24">
        <v>0</v>
      </c>
      <c r="AS18" s="20">
        <v>12</v>
      </c>
      <c r="AT18" s="19">
        <v>383</v>
      </c>
      <c r="AU18" s="23">
        <v>181</v>
      </c>
      <c r="AV18" s="24">
        <v>62</v>
      </c>
      <c r="AW18" s="23">
        <v>45</v>
      </c>
      <c r="AX18" s="24">
        <v>62</v>
      </c>
      <c r="AY18" s="23">
        <v>45</v>
      </c>
      <c r="AZ18" s="24">
        <v>0</v>
      </c>
      <c r="BA18" s="23">
        <v>12</v>
      </c>
      <c r="BB18" s="24">
        <v>161</v>
      </c>
      <c r="BC18" s="23">
        <v>104</v>
      </c>
      <c r="BD18" s="24">
        <v>148</v>
      </c>
      <c r="BE18" s="23">
        <v>101</v>
      </c>
      <c r="BF18" s="24">
        <v>13</v>
      </c>
      <c r="BG18" s="23">
        <v>21</v>
      </c>
      <c r="BH18" s="24">
        <v>160</v>
      </c>
      <c r="BI18" s="23">
        <v>97</v>
      </c>
      <c r="BJ18" s="24">
        <v>160</v>
      </c>
      <c r="BK18" s="23">
        <v>97</v>
      </c>
      <c r="BL18" s="24">
        <v>0</v>
      </c>
      <c r="BM18" s="20">
        <v>12</v>
      </c>
      <c r="BN18" s="19">
        <v>401</v>
      </c>
      <c r="BO18" s="23">
        <v>177</v>
      </c>
      <c r="BP18" s="24">
        <v>75</v>
      </c>
      <c r="BQ18" s="23">
        <v>52</v>
      </c>
      <c r="BR18" s="24">
        <v>75</v>
      </c>
      <c r="BS18" s="23">
        <v>52</v>
      </c>
      <c r="BT18" s="26">
        <v>0</v>
      </c>
      <c r="BU18" s="23">
        <v>12</v>
      </c>
      <c r="BV18" s="24">
        <v>263</v>
      </c>
      <c r="BW18" s="23">
        <v>111</v>
      </c>
      <c r="BX18" s="24">
        <v>263</v>
      </c>
      <c r="BY18" s="23">
        <v>111</v>
      </c>
      <c r="BZ18" s="24">
        <v>0</v>
      </c>
      <c r="CA18" s="23">
        <v>12</v>
      </c>
      <c r="CB18" s="24">
        <v>63</v>
      </c>
      <c r="CC18" s="23">
        <v>51</v>
      </c>
      <c r="CD18" s="24">
        <v>63</v>
      </c>
      <c r="CE18" s="23">
        <v>51</v>
      </c>
      <c r="CF18" s="24">
        <v>0</v>
      </c>
      <c r="CG18" s="20">
        <v>12</v>
      </c>
    </row>
    <row r="19" spans="1:85" x14ac:dyDescent="0.3">
      <c r="A19" t="s">
        <v>37</v>
      </c>
      <c r="B19">
        <v>20622</v>
      </c>
      <c r="C19" t="s">
        <v>38</v>
      </c>
      <c r="D19" s="19">
        <v>5259</v>
      </c>
      <c r="E19" s="20">
        <v>861</v>
      </c>
      <c r="F19" s="19">
        <v>801</v>
      </c>
      <c r="G19" s="23">
        <v>617</v>
      </c>
      <c r="H19" s="24">
        <v>390</v>
      </c>
      <c r="I19" s="23">
        <v>359</v>
      </c>
      <c r="J19" s="24">
        <v>303</v>
      </c>
      <c r="K19" s="23">
        <v>335</v>
      </c>
      <c r="L19" s="24">
        <v>87</v>
      </c>
      <c r="M19" s="23">
        <v>129</v>
      </c>
      <c r="N19" s="24">
        <v>376</v>
      </c>
      <c r="O19" s="23">
        <v>274</v>
      </c>
      <c r="P19" s="24">
        <v>304</v>
      </c>
      <c r="Q19" s="23">
        <v>235</v>
      </c>
      <c r="R19" s="24">
        <v>72</v>
      </c>
      <c r="S19" s="23">
        <v>102</v>
      </c>
      <c r="T19" s="24">
        <v>35</v>
      </c>
      <c r="U19" s="23">
        <v>45</v>
      </c>
      <c r="V19" s="24">
        <v>35</v>
      </c>
      <c r="W19" s="23">
        <v>45</v>
      </c>
      <c r="X19" s="24">
        <v>0</v>
      </c>
      <c r="Y19" s="20">
        <v>34</v>
      </c>
      <c r="Z19" s="19">
        <v>85</v>
      </c>
      <c r="AA19" s="23">
        <v>66</v>
      </c>
      <c r="AB19" s="24">
        <v>17</v>
      </c>
      <c r="AC19" s="23">
        <v>20</v>
      </c>
      <c r="AD19" s="24">
        <v>17</v>
      </c>
      <c r="AE19" s="23">
        <v>20</v>
      </c>
      <c r="AF19" s="24">
        <v>0</v>
      </c>
      <c r="AG19" s="23">
        <v>17</v>
      </c>
      <c r="AH19" s="24">
        <v>38</v>
      </c>
      <c r="AI19" s="23">
        <v>38</v>
      </c>
      <c r="AJ19" s="24">
        <v>38</v>
      </c>
      <c r="AK19" s="23">
        <v>38</v>
      </c>
      <c r="AL19" s="24">
        <v>0</v>
      </c>
      <c r="AM19" s="23">
        <v>17</v>
      </c>
      <c r="AN19" s="24">
        <v>30</v>
      </c>
      <c r="AO19" s="23">
        <v>33</v>
      </c>
      <c r="AP19" s="24">
        <v>30</v>
      </c>
      <c r="AQ19" s="23">
        <v>33</v>
      </c>
      <c r="AR19" s="24">
        <v>0</v>
      </c>
      <c r="AS19" s="20">
        <v>17</v>
      </c>
      <c r="AT19" s="19">
        <v>1570</v>
      </c>
      <c r="AU19" s="23">
        <v>681</v>
      </c>
      <c r="AV19" s="24">
        <v>581</v>
      </c>
      <c r="AW19" s="23">
        <v>516</v>
      </c>
      <c r="AX19" s="24">
        <v>291</v>
      </c>
      <c r="AY19" s="23">
        <v>244</v>
      </c>
      <c r="AZ19" s="24">
        <v>290</v>
      </c>
      <c r="BA19" s="23">
        <v>459</v>
      </c>
      <c r="BB19" s="24">
        <v>724</v>
      </c>
      <c r="BC19" s="23">
        <v>255</v>
      </c>
      <c r="BD19" s="24">
        <v>605</v>
      </c>
      <c r="BE19" s="23">
        <v>241</v>
      </c>
      <c r="BF19" s="24">
        <v>119</v>
      </c>
      <c r="BG19" s="23">
        <v>99</v>
      </c>
      <c r="BH19" s="24">
        <v>265</v>
      </c>
      <c r="BI19" s="23">
        <v>88</v>
      </c>
      <c r="BJ19" s="24">
        <v>265</v>
      </c>
      <c r="BK19" s="23">
        <v>88</v>
      </c>
      <c r="BL19" s="24">
        <v>0</v>
      </c>
      <c r="BM19" s="20">
        <v>17</v>
      </c>
      <c r="BN19" s="19">
        <v>2803</v>
      </c>
      <c r="BO19" s="23">
        <v>436</v>
      </c>
      <c r="BP19" s="24">
        <v>785</v>
      </c>
      <c r="BQ19" s="23">
        <v>203</v>
      </c>
      <c r="BR19" s="24">
        <v>753</v>
      </c>
      <c r="BS19" s="23">
        <v>201</v>
      </c>
      <c r="BT19" s="26">
        <v>32</v>
      </c>
      <c r="BU19" s="23">
        <v>39</v>
      </c>
      <c r="BV19" s="24">
        <v>1792</v>
      </c>
      <c r="BW19" s="23">
        <v>261</v>
      </c>
      <c r="BX19" s="24">
        <v>1693</v>
      </c>
      <c r="BY19" s="23">
        <v>246</v>
      </c>
      <c r="BZ19" s="24">
        <v>99</v>
      </c>
      <c r="CA19" s="23">
        <v>75</v>
      </c>
      <c r="CB19" s="24">
        <v>226</v>
      </c>
      <c r="CC19" s="23">
        <v>99</v>
      </c>
      <c r="CD19" s="24">
        <v>226</v>
      </c>
      <c r="CE19" s="23">
        <v>99</v>
      </c>
      <c r="CF19" s="24">
        <v>0</v>
      </c>
      <c r="CG19" s="20">
        <v>17</v>
      </c>
    </row>
    <row r="20" spans="1:85" x14ac:dyDescent="0.3">
      <c r="A20" t="s">
        <v>39</v>
      </c>
      <c r="B20">
        <v>20623</v>
      </c>
      <c r="C20" t="s">
        <v>40</v>
      </c>
      <c r="D20" s="19">
        <v>3077</v>
      </c>
      <c r="E20" s="20">
        <v>349</v>
      </c>
      <c r="F20" s="19">
        <v>48</v>
      </c>
      <c r="G20" s="23">
        <v>63</v>
      </c>
      <c r="H20" s="24">
        <v>0</v>
      </c>
      <c r="I20" s="23">
        <v>24</v>
      </c>
      <c r="J20" s="24">
        <v>0</v>
      </c>
      <c r="K20" s="23">
        <v>24</v>
      </c>
      <c r="L20" s="24">
        <v>0</v>
      </c>
      <c r="M20" s="23">
        <v>24</v>
      </c>
      <c r="N20" s="24">
        <v>0</v>
      </c>
      <c r="O20" s="23">
        <v>24</v>
      </c>
      <c r="P20" s="24">
        <v>0</v>
      </c>
      <c r="Q20" s="23">
        <v>24</v>
      </c>
      <c r="R20" s="24">
        <v>0</v>
      </c>
      <c r="S20" s="23">
        <v>24</v>
      </c>
      <c r="T20" s="24">
        <v>48</v>
      </c>
      <c r="U20" s="23">
        <v>63</v>
      </c>
      <c r="V20" s="24">
        <v>48</v>
      </c>
      <c r="W20" s="23">
        <v>63</v>
      </c>
      <c r="X20" s="24">
        <v>0</v>
      </c>
      <c r="Y20" s="20">
        <v>24</v>
      </c>
      <c r="Z20" s="19">
        <v>26</v>
      </c>
      <c r="AA20" s="23">
        <v>31</v>
      </c>
      <c r="AB20" s="24">
        <v>0</v>
      </c>
      <c r="AC20" s="23">
        <v>12</v>
      </c>
      <c r="AD20" s="24">
        <v>0</v>
      </c>
      <c r="AE20" s="23">
        <v>12</v>
      </c>
      <c r="AF20" s="24">
        <v>0</v>
      </c>
      <c r="AG20" s="23">
        <v>12</v>
      </c>
      <c r="AH20" s="24">
        <v>12</v>
      </c>
      <c r="AI20" s="23">
        <v>20</v>
      </c>
      <c r="AJ20" s="24">
        <v>12</v>
      </c>
      <c r="AK20" s="23">
        <v>20</v>
      </c>
      <c r="AL20" s="24">
        <v>0</v>
      </c>
      <c r="AM20" s="23">
        <v>12</v>
      </c>
      <c r="AN20" s="24">
        <v>14</v>
      </c>
      <c r="AO20" s="23">
        <v>24</v>
      </c>
      <c r="AP20" s="24">
        <v>14</v>
      </c>
      <c r="AQ20" s="23">
        <v>24</v>
      </c>
      <c r="AR20" s="24">
        <v>0</v>
      </c>
      <c r="AS20" s="20">
        <v>12</v>
      </c>
      <c r="AT20" s="19">
        <v>731</v>
      </c>
      <c r="AU20" s="23">
        <v>316</v>
      </c>
      <c r="AV20" s="24">
        <v>205</v>
      </c>
      <c r="AW20" s="23">
        <v>120</v>
      </c>
      <c r="AX20" s="24">
        <v>189</v>
      </c>
      <c r="AY20" s="23">
        <v>120</v>
      </c>
      <c r="AZ20" s="24">
        <v>16</v>
      </c>
      <c r="BA20" s="23">
        <v>23</v>
      </c>
      <c r="BB20" s="24">
        <v>484</v>
      </c>
      <c r="BC20" s="23">
        <v>215</v>
      </c>
      <c r="BD20" s="24">
        <v>374</v>
      </c>
      <c r="BE20" s="23">
        <v>170</v>
      </c>
      <c r="BF20" s="24">
        <v>110</v>
      </c>
      <c r="BG20" s="23">
        <v>80</v>
      </c>
      <c r="BH20" s="24">
        <v>42</v>
      </c>
      <c r="BI20" s="23">
        <v>37</v>
      </c>
      <c r="BJ20" s="24">
        <v>42</v>
      </c>
      <c r="BK20" s="23">
        <v>37</v>
      </c>
      <c r="BL20" s="24">
        <v>0</v>
      </c>
      <c r="BM20" s="20">
        <v>12</v>
      </c>
      <c r="BN20" s="19">
        <v>2272</v>
      </c>
      <c r="BO20" s="23">
        <v>368</v>
      </c>
      <c r="BP20" s="24">
        <v>526</v>
      </c>
      <c r="BQ20" s="23">
        <v>146</v>
      </c>
      <c r="BR20" s="24">
        <v>508</v>
      </c>
      <c r="BS20" s="23">
        <v>143</v>
      </c>
      <c r="BT20" s="26">
        <v>18</v>
      </c>
      <c r="BU20" s="23">
        <v>20</v>
      </c>
      <c r="BV20" s="24">
        <v>1598</v>
      </c>
      <c r="BW20" s="23">
        <v>281</v>
      </c>
      <c r="BX20" s="24">
        <v>1563</v>
      </c>
      <c r="BY20" s="23">
        <v>280</v>
      </c>
      <c r="BZ20" s="24">
        <v>35</v>
      </c>
      <c r="CA20" s="23">
        <v>34</v>
      </c>
      <c r="CB20" s="24">
        <v>148</v>
      </c>
      <c r="CC20" s="23">
        <v>73</v>
      </c>
      <c r="CD20" s="24">
        <v>148</v>
      </c>
      <c r="CE20" s="23">
        <v>73</v>
      </c>
      <c r="CF20" s="24">
        <v>0</v>
      </c>
      <c r="CG20" s="20">
        <v>12</v>
      </c>
    </row>
    <row r="21" spans="1:85" x14ac:dyDescent="0.3">
      <c r="A21" t="s">
        <v>41</v>
      </c>
      <c r="B21">
        <v>20624</v>
      </c>
      <c r="C21" t="s">
        <v>42</v>
      </c>
      <c r="D21" s="19">
        <v>1278</v>
      </c>
      <c r="E21" s="20">
        <v>303</v>
      </c>
      <c r="F21" s="19">
        <v>203</v>
      </c>
      <c r="G21" s="23">
        <v>197</v>
      </c>
      <c r="H21" s="24">
        <v>50</v>
      </c>
      <c r="I21" s="23">
        <v>71</v>
      </c>
      <c r="J21" s="24">
        <v>50</v>
      </c>
      <c r="K21" s="23">
        <v>71</v>
      </c>
      <c r="L21" s="24">
        <v>0</v>
      </c>
      <c r="M21" s="23">
        <v>24</v>
      </c>
      <c r="N21" s="24">
        <v>146</v>
      </c>
      <c r="O21" s="23">
        <v>137</v>
      </c>
      <c r="P21" s="24">
        <v>146</v>
      </c>
      <c r="Q21" s="23">
        <v>137</v>
      </c>
      <c r="R21" s="24">
        <v>0</v>
      </c>
      <c r="S21" s="23">
        <v>24</v>
      </c>
      <c r="T21" s="24">
        <v>7</v>
      </c>
      <c r="U21" s="23">
        <v>23</v>
      </c>
      <c r="V21" s="24">
        <v>7</v>
      </c>
      <c r="W21" s="23">
        <v>23</v>
      </c>
      <c r="X21" s="24">
        <v>0</v>
      </c>
      <c r="Y21" s="20">
        <v>24</v>
      </c>
      <c r="Z21" s="19">
        <v>77</v>
      </c>
      <c r="AA21" s="23">
        <v>61</v>
      </c>
      <c r="AB21" s="24">
        <v>0</v>
      </c>
      <c r="AC21" s="23">
        <v>12</v>
      </c>
      <c r="AD21" s="24">
        <v>0</v>
      </c>
      <c r="AE21" s="23">
        <v>12</v>
      </c>
      <c r="AF21" s="24">
        <v>0</v>
      </c>
      <c r="AG21" s="23">
        <v>12</v>
      </c>
      <c r="AH21" s="24">
        <v>44</v>
      </c>
      <c r="AI21" s="23">
        <v>45</v>
      </c>
      <c r="AJ21" s="24">
        <v>44</v>
      </c>
      <c r="AK21" s="23">
        <v>45</v>
      </c>
      <c r="AL21" s="24">
        <v>0</v>
      </c>
      <c r="AM21" s="23">
        <v>12</v>
      </c>
      <c r="AN21" s="24">
        <v>33</v>
      </c>
      <c r="AO21" s="23">
        <v>39</v>
      </c>
      <c r="AP21" s="24">
        <v>33</v>
      </c>
      <c r="AQ21" s="23">
        <v>39</v>
      </c>
      <c r="AR21" s="24">
        <v>0</v>
      </c>
      <c r="AS21" s="20">
        <v>12</v>
      </c>
      <c r="AT21" s="19">
        <v>383</v>
      </c>
      <c r="AU21" s="23">
        <v>192</v>
      </c>
      <c r="AV21" s="24">
        <v>113</v>
      </c>
      <c r="AW21" s="23">
        <v>92</v>
      </c>
      <c r="AX21" s="24">
        <v>113</v>
      </c>
      <c r="AY21" s="23">
        <v>92</v>
      </c>
      <c r="AZ21" s="24">
        <v>0</v>
      </c>
      <c r="BA21" s="23">
        <v>12</v>
      </c>
      <c r="BB21" s="24">
        <v>229</v>
      </c>
      <c r="BC21" s="23">
        <v>110</v>
      </c>
      <c r="BD21" s="24">
        <v>201</v>
      </c>
      <c r="BE21" s="23">
        <v>103</v>
      </c>
      <c r="BF21" s="24">
        <v>28</v>
      </c>
      <c r="BG21" s="23">
        <v>28</v>
      </c>
      <c r="BH21" s="24">
        <v>41</v>
      </c>
      <c r="BI21" s="23">
        <v>31</v>
      </c>
      <c r="BJ21" s="24">
        <v>41</v>
      </c>
      <c r="BK21" s="23">
        <v>31</v>
      </c>
      <c r="BL21" s="24">
        <v>0</v>
      </c>
      <c r="BM21" s="20">
        <v>12</v>
      </c>
      <c r="BN21" s="19">
        <v>615</v>
      </c>
      <c r="BO21" s="23">
        <v>203</v>
      </c>
      <c r="BP21" s="24">
        <v>88</v>
      </c>
      <c r="BQ21" s="23">
        <v>61</v>
      </c>
      <c r="BR21" s="24">
        <v>88</v>
      </c>
      <c r="BS21" s="23">
        <v>61</v>
      </c>
      <c r="BT21" s="26">
        <v>0</v>
      </c>
      <c r="BU21" s="23">
        <v>12</v>
      </c>
      <c r="BV21" s="24">
        <v>445</v>
      </c>
      <c r="BW21" s="23">
        <v>181</v>
      </c>
      <c r="BX21" s="24">
        <v>445</v>
      </c>
      <c r="BY21" s="23">
        <v>181</v>
      </c>
      <c r="BZ21" s="24">
        <v>0</v>
      </c>
      <c r="CA21" s="23">
        <v>12</v>
      </c>
      <c r="CB21" s="24">
        <v>82</v>
      </c>
      <c r="CC21" s="23">
        <v>44</v>
      </c>
      <c r="CD21" s="24">
        <v>82</v>
      </c>
      <c r="CE21" s="23">
        <v>44</v>
      </c>
      <c r="CF21" s="24">
        <v>0</v>
      </c>
      <c r="CG21" s="20">
        <v>12</v>
      </c>
    </row>
    <row r="22" spans="1:85" x14ac:dyDescent="0.3">
      <c r="A22" t="s">
        <v>43</v>
      </c>
      <c r="B22">
        <v>20625</v>
      </c>
      <c r="C22" t="s">
        <v>44</v>
      </c>
      <c r="D22" s="19">
        <v>657</v>
      </c>
      <c r="E22" s="20">
        <v>287</v>
      </c>
      <c r="F22" s="19">
        <v>167</v>
      </c>
      <c r="G22" s="23">
        <v>211</v>
      </c>
      <c r="H22" s="24">
        <v>57</v>
      </c>
      <c r="I22" s="23">
        <v>87</v>
      </c>
      <c r="J22" s="24">
        <v>57</v>
      </c>
      <c r="K22" s="23">
        <v>87</v>
      </c>
      <c r="L22" s="24">
        <v>0</v>
      </c>
      <c r="M22" s="23">
        <v>24</v>
      </c>
      <c r="N22" s="24">
        <v>110</v>
      </c>
      <c r="O22" s="23">
        <v>132</v>
      </c>
      <c r="P22" s="24">
        <v>110</v>
      </c>
      <c r="Q22" s="23">
        <v>132</v>
      </c>
      <c r="R22" s="24">
        <v>0</v>
      </c>
      <c r="S22" s="23">
        <v>24</v>
      </c>
      <c r="T22" s="24">
        <v>0</v>
      </c>
      <c r="U22" s="23">
        <v>24</v>
      </c>
      <c r="V22" s="24">
        <v>0</v>
      </c>
      <c r="W22" s="23">
        <v>24</v>
      </c>
      <c r="X22" s="24">
        <v>0</v>
      </c>
      <c r="Y22" s="20">
        <v>24</v>
      </c>
      <c r="Z22" s="19">
        <v>28</v>
      </c>
      <c r="AA22" s="23">
        <v>25</v>
      </c>
      <c r="AB22" s="24">
        <v>0</v>
      </c>
      <c r="AC22" s="23">
        <v>12</v>
      </c>
      <c r="AD22" s="24">
        <v>0</v>
      </c>
      <c r="AE22" s="23">
        <v>12</v>
      </c>
      <c r="AF22" s="24">
        <v>0</v>
      </c>
      <c r="AG22" s="23">
        <v>12</v>
      </c>
      <c r="AH22" s="24">
        <v>8</v>
      </c>
      <c r="AI22" s="23">
        <v>12</v>
      </c>
      <c r="AJ22" s="24">
        <v>0</v>
      </c>
      <c r="AK22" s="23">
        <v>12</v>
      </c>
      <c r="AL22" s="24">
        <v>8</v>
      </c>
      <c r="AM22" s="23">
        <v>12</v>
      </c>
      <c r="AN22" s="24">
        <v>20</v>
      </c>
      <c r="AO22" s="23">
        <v>22</v>
      </c>
      <c r="AP22" s="24">
        <v>20</v>
      </c>
      <c r="AQ22" s="23">
        <v>22</v>
      </c>
      <c r="AR22" s="24">
        <v>0</v>
      </c>
      <c r="AS22" s="20">
        <v>12</v>
      </c>
      <c r="AT22" s="19">
        <v>237</v>
      </c>
      <c r="AU22" s="23">
        <v>215</v>
      </c>
      <c r="AV22" s="24">
        <v>44</v>
      </c>
      <c r="AW22" s="23">
        <v>72</v>
      </c>
      <c r="AX22" s="24">
        <v>44</v>
      </c>
      <c r="AY22" s="23">
        <v>72</v>
      </c>
      <c r="AZ22" s="24">
        <v>0</v>
      </c>
      <c r="BA22" s="23">
        <v>12</v>
      </c>
      <c r="BB22" s="24">
        <v>79</v>
      </c>
      <c r="BC22" s="23">
        <v>128</v>
      </c>
      <c r="BD22" s="24">
        <v>79</v>
      </c>
      <c r="BE22" s="23">
        <v>128</v>
      </c>
      <c r="BF22" s="24">
        <v>0</v>
      </c>
      <c r="BG22" s="23">
        <v>12</v>
      </c>
      <c r="BH22" s="24">
        <v>114</v>
      </c>
      <c r="BI22" s="23">
        <v>68</v>
      </c>
      <c r="BJ22" s="24">
        <v>114</v>
      </c>
      <c r="BK22" s="23">
        <v>68</v>
      </c>
      <c r="BL22" s="24">
        <v>0</v>
      </c>
      <c r="BM22" s="20">
        <v>12</v>
      </c>
      <c r="BN22" s="19">
        <v>225</v>
      </c>
      <c r="BO22" s="23">
        <v>139</v>
      </c>
      <c r="BP22" s="24">
        <v>33</v>
      </c>
      <c r="BQ22" s="23">
        <v>30</v>
      </c>
      <c r="BR22" s="24">
        <v>33</v>
      </c>
      <c r="BS22" s="23">
        <v>30</v>
      </c>
      <c r="BT22" s="26">
        <v>0</v>
      </c>
      <c r="BU22" s="23">
        <v>12</v>
      </c>
      <c r="BV22" s="24">
        <v>171</v>
      </c>
      <c r="BW22" s="23">
        <v>119</v>
      </c>
      <c r="BX22" s="24">
        <v>159</v>
      </c>
      <c r="BY22" s="23">
        <v>114</v>
      </c>
      <c r="BZ22" s="24">
        <v>12</v>
      </c>
      <c r="CA22" s="23">
        <v>19</v>
      </c>
      <c r="CB22" s="24">
        <v>21</v>
      </c>
      <c r="CC22" s="23">
        <v>26</v>
      </c>
      <c r="CD22" s="24">
        <v>21</v>
      </c>
      <c r="CE22" s="23">
        <v>26</v>
      </c>
      <c r="CF22" s="24">
        <v>0</v>
      </c>
      <c r="CG22" s="20">
        <v>12</v>
      </c>
    </row>
    <row r="23" spans="1:85" x14ac:dyDescent="0.3">
      <c r="A23" t="s">
        <v>45</v>
      </c>
      <c r="B23">
        <v>20626</v>
      </c>
      <c r="C23" t="s">
        <v>46</v>
      </c>
      <c r="D23" s="19">
        <v>287</v>
      </c>
      <c r="E23" s="20">
        <v>80</v>
      </c>
      <c r="F23" s="19">
        <v>41</v>
      </c>
      <c r="G23" s="23">
        <v>48</v>
      </c>
      <c r="H23" s="24">
        <v>0</v>
      </c>
      <c r="I23" s="23">
        <v>24</v>
      </c>
      <c r="J23" s="24">
        <v>0</v>
      </c>
      <c r="K23" s="23">
        <v>24</v>
      </c>
      <c r="L23" s="24">
        <v>0</v>
      </c>
      <c r="M23" s="23">
        <v>24</v>
      </c>
      <c r="N23" s="24">
        <v>26</v>
      </c>
      <c r="O23" s="23">
        <v>53</v>
      </c>
      <c r="P23" s="24">
        <v>26</v>
      </c>
      <c r="Q23" s="23">
        <v>53</v>
      </c>
      <c r="R23" s="24">
        <v>0</v>
      </c>
      <c r="S23" s="23">
        <v>24</v>
      </c>
      <c r="T23" s="24">
        <v>15</v>
      </c>
      <c r="U23" s="23">
        <v>36</v>
      </c>
      <c r="V23" s="24">
        <v>15</v>
      </c>
      <c r="W23" s="23">
        <v>36</v>
      </c>
      <c r="X23" s="24">
        <v>0</v>
      </c>
      <c r="Y23" s="20">
        <v>24</v>
      </c>
      <c r="Z23" s="19">
        <v>19</v>
      </c>
      <c r="AA23" s="23">
        <v>29</v>
      </c>
      <c r="AB23" s="24">
        <v>0</v>
      </c>
      <c r="AC23" s="23">
        <v>12</v>
      </c>
      <c r="AD23" s="24">
        <v>0</v>
      </c>
      <c r="AE23" s="23">
        <v>12</v>
      </c>
      <c r="AF23" s="24">
        <v>0</v>
      </c>
      <c r="AG23" s="23">
        <v>12</v>
      </c>
      <c r="AH23" s="24">
        <v>10</v>
      </c>
      <c r="AI23" s="23">
        <v>15</v>
      </c>
      <c r="AJ23" s="24">
        <v>10</v>
      </c>
      <c r="AK23" s="23">
        <v>15</v>
      </c>
      <c r="AL23" s="24">
        <v>0</v>
      </c>
      <c r="AM23" s="23">
        <v>12</v>
      </c>
      <c r="AN23" s="24">
        <v>9</v>
      </c>
      <c r="AO23" s="23">
        <v>14</v>
      </c>
      <c r="AP23" s="24">
        <v>9</v>
      </c>
      <c r="AQ23" s="23">
        <v>14</v>
      </c>
      <c r="AR23" s="24">
        <v>0</v>
      </c>
      <c r="AS23" s="20">
        <v>12</v>
      </c>
      <c r="AT23" s="19">
        <v>72</v>
      </c>
      <c r="AU23" s="23">
        <v>54</v>
      </c>
      <c r="AV23" s="24">
        <v>8</v>
      </c>
      <c r="AW23" s="23">
        <v>13</v>
      </c>
      <c r="AX23" s="24">
        <v>8</v>
      </c>
      <c r="AY23" s="23">
        <v>13</v>
      </c>
      <c r="AZ23" s="24">
        <v>0</v>
      </c>
      <c r="BA23" s="23">
        <v>12</v>
      </c>
      <c r="BB23" s="24">
        <v>48</v>
      </c>
      <c r="BC23" s="23">
        <v>41</v>
      </c>
      <c r="BD23" s="24">
        <v>48</v>
      </c>
      <c r="BE23" s="23">
        <v>41</v>
      </c>
      <c r="BF23" s="24">
        <v>0</v>
      </c>
      <c r="BG23" s="23">
        <v>12</v>
      </c>
      <c r="BH23" s="24">
        <v>16</v>
      </c>
      <c r="BI23" s="23">
        <v>24</v>
      </c>
      <c r="BJ23" s="24">
        <v>16</v>
      </c>
      <c r="BK23" s="23">
        <v>24</v>
      </c>
      <c r="BL23" s="24">
        <v>0</v>
      </c>
      <c r="BM23" s="20">
        <v>12</v>
      </c>
      <c r="BN23" s="19">
        <v>155</v>
      </c>
      <c r="BO23" s="23">
        <v>69</v>
      </c>
      <c r="BP23" s="24">
        <v>0</v>
      </c>
      <c r="BQ23" s="23">
        <v>12</v>
      </c>
      <c r="BR23" s="24">
        <v>0</v>
      </c>
      <c r="BS23" s="23">
        <v>12</v>
      </c>
      <c r="BT23" s="26">
        <v>0</v>
      </c>
      <c r="BU23" s="23">
        <v>12</v>
      </c>
      <c r="BV23" s="24">
        <v>141</v>
      </c>
      <c r="BW23" s="23">
        <v>66</v>
      </c>
      <c r="BX23" s="24">
        <v>91</v>
      </c>
      <c r="BY23" s="23">
        <v>48</v>
      </c>
      <c r="BZ23" s="24">
        <v>50</v>
      </c>
      <c r="CA23" s="23">
        <v>60</v>
      </c>
      <c r="CB23" s="24">
        <v>14</v>
      </c>
      <c r="CC23" s="23">
        <v>17</v>
      </c>
      <c r="CD23" s="24">
        <v>14</v>
      </c>
      <c r="CE23" s="23">
        <v>17</v>
      </c>
      <c r="CF23" s="24">
        <v>0</v>
      </c>
      <c r="CG23" s="20">
        <v>12</v>
      </c>
    </row>
    <row r="24" spans="1:85" x14ac:dyDescent="0.3">
      <c r="A24" t="s">
        <v>47</v>
      </c>
      <c r="B24">
        <v>20628</v>
      </c>
      <c r="C24" t="s">
        <v>48</v>
      </c>
      <c r="D24" s="19">
        <v>170</v>
      </c>
      <c r="E24" s="20">
        <v>133</v>
      </c>
      <c r="F24" s="19">
        <v>11</v>
      </c>
      <c r="G24" s="23">
        <v>30</v>
      </c>
      <c r="H24" s="24">
        <v>0</v>
      </c>
      <c r="I24" s="23">
        <v>24</v>
      </c>
      <c r="J24" s="24">
        <v>0</v>
      </c>
      <c r="K24" s="23">
        <v>24</v>
      </c>
      <c r="L24" s="24">
        <v>0</v>
      </c>
      <c r="M24" s="23">
        <v>24</v>
      </c>
      <c r="N24" s="24">
        <v>0</v>
      </c>
      <c r="O24" s="23">
        <v>24</v>
      </c>
      <c r="P24" s="24">
        <v>0</v>
      </c>
      <c r="Q24" s="23">
        <v>24</v>
      </c>
      <c r="R24" s="24">
        <v>0</v>
      </c>
      <c r="S24" s="23">
        <v>24</v>
      </c>
      <c r="T24" s="24">
        <v>11</v>
      </c>
      <c r="U24" s="23">
        <v>30</v>
      </c>
      <c r="V24" s="24">
        <v>11</v>
      </c>
      <c r="W24" s="23">
        <v>30</v>
      </c>
      <c r="X24" s="24">
        <v>0</v>
      </c>
      <c r="Y24" s="20">
        <v>24</v>
      </c>
      <c r="Z24" s="19">
        <v>0</v>
      </c>
      <c r="AA24" s="23">
        <v>12</v>
      </c>
      <c r="AB24" s="24">
        <v>0</v>
      </c>
      <c r="AC24" s="23">
        <v>12</v>
      </c>
      <c r="AD24" s="24">
        <v>0</v>
      </c>
      <c r="AE24" s="23">
        <v>12</v>
      </c>
      <c r="AF24" s="24">
        <v>0</v>
      </c>
      <c r="AG24" s="23">
        <v>12</v>
      </c>
      <c r="AH24" s="24">
        <v>0</v>
      </c>
      <c r="AI24" s="23">
        <v>12</v>
      </c>
      <c r="AJ24" s="24">
        <v>0</v>
      </c>
      <c r="AK24" s="23">
        <v>12</v>
      </c>
      <c r="AL24" s="24">
        <v>0</v>
      </c>
      <c r="AM24" s="23">
        <v>12</v>
      </c>
      <c r="AN24" s="24">
        <v>0</v>
      </c>
      <c r="AO24" s="23">
        <v>12</v>
      </c>
      <c r="AP24" s="24">
        <v>0</v>
      </c>
      <c r="AQ24" s="23">
        <v>12</v>
      </c>
      <c r="AR24" s="24">
        <v>0</v>
      </c>
      <c r="AS24" s="20">
        <v>12</v>
      </c>
      <c r="AT24" s="19">
        <v>0</v>
      </c>
      <c r="AU24" s="23">
        <v>12</v>
      </c>
      <c r="AV24" s="24">
        <v>0</v>
      </c>
      <c r="AW24" s="23">
        <v>12</v>
      </c>
      <c r="AX24" s="24">
        <v>0</v>
      </c>
      <c r="AY24" s="23">
        <v>12</v>
      </c>
      <c r="AZ24" s="24">
        <v>0</v>
      </c>
      <c r="BA24" s="23">
        <v>12</v>
      </c>
      <c r="BB24" s="24">
        <v>0</v>
      </c>
      <c r="BC24" s="23">
        <v>12</v>
      </c>
      <c r="BD24" s="24">
        <v>0</v>
      </c>
      <c r="BE24" s="23">
        <v>12</v>
      </c>
      <c r="BF24" s="24">
        <v>0</v>
      </c>
      <c r="BG24" s="23">
        <v>12</v>
      </c>
      <c r="BH24" s="24">
        <v>0</v>
      </c>
      <c r="BI24" s="23">
        <v>12</v>
      </c>
      <c r="BJ24" s="24">
        <v>0</v>
      </c>
      <c r="BK24" s="23">
        <v>12</v>
      </c>
      <c r="BL24" s="24">
        <v>0</v>
      </c>
      <c r="BM24" s="20">
        <v>12</v>
      </c>
      <c r="BN24" s="19">
        <v>159</v>
      </c>
      <c r="BO24" s="23">
        <v>132</v>
      </c>
      <c r="BP24" s="24">
        <v>32</v>
      </c>
      <c r="BQ24" s="23">
        <v>52</v>
      </c>
      <c r="BR24" s="24">
        <v>32</v>
      </c>
      <c r="BS24" s="23">
        <v>52</v>
      </c>
      <c r="BT24" s="26">
        <v>0</v>
      </c>
      <c r="BU24" s="23">
        <v>12</v>
      </c>
      <c r="BV24" s="24">
        <v>67</v>
      </c>
      <c r="BW24" s="23">
        <v>63</v>
      </c>
      <c r="BX24" s="24">
        <v>46</v>
      </c>
      <c r="BY24" s="23">
        <v>54</v>
      </c>
      <c r="BZ24" s="24">
        <v>21</v>
      </c>
      <c r="CA24" s="23">
        <v>35</v>
      </c>
      <c r="CB24" s="24">
        <v>60</v>
      </c>
      <c r="CC24" s="23">
        <v>64</v>
      </c>
      <c r="CD24" s="24">
        <v>60</v>
      </c>
      <c r="CE24" s="23">
        <v>64</v>
      </c>
      <c r="CF24" s="24">
        <v>0</v>
      </c>
      <c r="CG24" s="20">
        <v>12</v>
      </c>
    </row>
    <row r="25" spans="1:85" x14ac:dyDescent="0.3">
      <c r="A25" t="s">
        <v>49</v>
      </c>
      <c r="B25">
        <v>20629</v>
      </c>
      <c r="C25" t="s">
        <v>50</v>
      </c>
      <c r="D25" s="19">
        <v>384</v>
      </c>
      <c r="E25" s="20">
        <v>244</v>
      </c>
      <c r="F25" s="19">
        <v>12</v>
      </c>
      <c r="G25" s="23">
        <v>30</v>
      </c>
      <c r="H25" s="24">
        <v>0</v>
      </c>
      <c r="I25" s="23">
        <v>24</v>
      </c>
      <c r="J25" s="24">
        <v>0</v>
      </c>
      <c r="K25" s="23">
        <v>24</v>
      </c>
      <c r="L25" s="24">
        <v>0</v>
      </c>
      <c r="M25" s="23">
        <v>24</v>
      </c>
      <c r="N25" s="24">
        <v>0</v>
      </c>
      <c r="O25" s="23">
        <v>24</v>
      </c>
      <c r="P25" s="24">
        <v>0</v>
      </c>
      <c r="Q25" s="23">
        <v>24</v>
      </c>
      <c r="R25" s="24">
        <v>0</v>
      </c>
      <c r="S25" s="23">
        <v>24</v>
      </c>
      <c r="T25" s="24">
        <v>12</v>
      </c>
      <c r="U25" s="23">
        <v>30</v>
      </c>
      <c r="V25" s="24">
        <v>12</v>
      </c>
      <c r="W25" s="23">
        <v>30</v>
      </c>
      <c r="X25" s="24">
        <v>0</v>
      </c>
      <c r="Y25" s="20">
        <v>24</v>
      </c>
      <c r="Z25" s="19">
        <v>136</v>
      </c>
      <c r="AA25" s="23">
        <v>218</v>
      </c>
      <c r="AB25" s="24">
        <v>72</v>
      </c>
      <c r="AC25" s="23">
        <v>113</v>
      </c>
      <c r="AD25" s="24">
        <v>72</v>
      </c>
      <c r="AE25" s="23">
        <v>113</v>
      </c>
      <c r="AF25" s="24">
        <v>0</v>
      </c>
      <c r="AG25" s="23">
        <v>12</v>
      </c>
      <c r="AH25" s="24">
        <v>64</v>
      </c>
      <c r="AI25" s="23">
        <v>105</v>
      </c>
      <c r="AJ25" s="24">
        <v>64</v>
      </c>
      <c r="AK25" s="23">
        <v>105</v>
      </c>
      <c r="AL25" s="24">
        <v>0</v>
      </c>
      <c r="AM25" s="23">
        <v>12</v>
      </c>
      <c r="AN25" s="24">
        <v>0</v>
      </c>
      <c r="AO25" s="23">
        <v>12</v>
      </c>
      <c r="AP25" s="24">
        <v>0</v>
      </c>
      <c r="AQ25" s="23">
        <v>12</v>
      </c>
      <c r="AR25" s="24">
        <v>0</v>
      </c>
      <c r="AS25" s="20">
        <v>12</v>
      </c>
      <c r="AT25" s="19">
        <v>49</v>
      </c>
      <c r="AU25" s="23">
        <v>80</v>
      </c>
      <c r="AV25" s="24">
        <v>0</v>
      </c>
      <c r="AW25" s="23">
        <v>12</v>
      </c>
      <c r="AX25" s="24">
        <v>0</v>
      </c>
      <c r="AY25" s="23">
        <v>12</v>
      </c>
      <c r="AZ25" s="24">
        <v>0</v>
      </c>
      <c r="BA25" s="23">
        <v>12</v>
      </c>
      <c r="BB25" s="24">
        <v>37</v>
      </c>
      <c r="BC25" s="23">
        <v>60</v>
      </c>
      <c r="BD25" s="24">
        <v>0</v>
      </c>
      <c r="BE25" s="23">
        <v>12</v>
      </c>
      <c r="BF25" s="24">
        <v>37</v>
      </c>
      <c r="BG25" s="23">
        <v>60</v>
      </c>
      <c r="BH25" s="24">
        <v>12</v>
      </c>
      <c r="BI25" s="23">
        <v>20</v>
      </c>
      <c r="BJ25" s="24">
        <v>12</v>
      </c>
      <c r="BK25" s="23">
        <v>20</v>
      </c>
      <c r="BL25" s="24">
        <v>0</v>
      </c>
      <c r="BM25" s="20">
        <v>12</v>
      </c>
      <c r="BN25" s="19">
        <v>187</v>
      </c>
      <c r="BO25" s="23">
        <v>147</v>
      </c>
      <c r="BP25" s="24">
        <v>57</v>
      </c>
      <c r="BQ25" s="23">
        <v>96</v>
      </c>
      <c r="BR25" s="24">
        <v>57</v>
      </c>
      <c r="BS25" s="23">
        <v>96</v>
      </c>
      <c r="BT25" s="26">
        <v>0</v>
      </c>
      <c r="BU25" s="23">
        <v>12</v>
      </c>
      <c r="BV25" s="24">
        <v>73</v>
      </c>
      <c r="BW25" s="23">
        <v>57</v>
      </c>
      <c r="BX25" s="24">
        <v>73</v>
      </c>
      <c r="BY25" s="23">
        <v>57</v>
      </c>
      <c r="BZ25" s="24">
        <v>0</v>
      </c>
      <c r="CA25" s="23">
        <v>12</v>
      </c>
      <c r="CB25" s="24">
        <v>57</v>
      </c>
      <c r="CC25" s="23">
        <v>51</v>
      </c>
      <c r="CD25" s="24">
        <v>57</v>
      </c>
      <c r="CE25" s="23">
        <v>51</v>
      </c>
      <c r="CF25" s="24">
        <v>0</v>
      </c>
      <c r="CG25" s="20">
        <v>12</v>
      </c>
    </row>
    <row r="26" spans="1:85" x14ac:dyDescent="0.3">
      <c r="A26" t="s">
        <v>51</v>
      </c>
      <c r="B26">
        <v>20630</v>
      </c>
      <c r="C26" t="s">
        <v>52</v>
      </c>
      <c r="D26" s="19">
        <v>359</v>
      </c>
      <c r="E26" s="20">
        <v>165</v>
      </c>
      <c r="F26" s="19">
        <v>0</v>
      </c>
      <c r="G26" s="23">
        <v>24</v>
      </c>
      <c r="H26" s="24">
        <v>0</v>
      </c>
      <c r="I26" s="23">
        <v>24</v>
      </c>
      <c r="J26" s="24">
        <v>0</v>
      </c>
      <c r="K26" s="23">
        <v>24</v>
      </c>
      <c r="L26" s="24">
        <v>0</v>
      </c>
      <c r="M26" s="23">
        <v>24</v>
      </c>
      <c r="N26" s="24">
        <v>0</v>
      </c>
      <c r="O26" s="23">
        <v>24</v>
      </c>
      <c r="P26" s="24">
        <v>0</v>
      </c>
      <c r="Q26" s="23">
        <v>24</v>
      </c>
      <c r="R26" s="24">
        <v>0</v>
      </c>
      <c r="S26" s="23">
        <v>24</v>
      </c>
      <c r="T26" s="24">
        <v>0</v>
      </c>
      <c r="U26" s="23">
        <v>24</v>
      </c>
      <c r="V26" s="24">
        <v>0</v>
      </c>
      <c r="W26" s="23">
        <v>24</v>
      </c>
      <c r="X26" s="24">
        <v>0</v>
      </c>
      <c r="Y26" s="20">
        <v>24</v>
      </c>
      <c r="Z26" s="19">
        <v>130</v>
      </c>
      <c r="AA26" s="23">
        <v>98</v>
      </c>
      <c r="AB26" s="24">
        <v>31</v>
      </c>
      <c r="AC26" s="23">
        <v>25</v>
      </c>
      <c r="AD26" s="24">
        <v>31</v>
      </c>
      <c r="AE26" s="23">
        <v>25</v>
      </c>
      <c r="AF26" s="24">
        <v>0</v>
      </c>
      <c r="AG26" s="23">
        <v>12</v>
      </c>
      <c r="AH26" s="24">
        <v>40</v>
      </c>
      <c r="AI26" s="23">
        <v>35</v>
      </c>
      <c r="AJ26" s="24">
        <v>40</v>
      </c>
      <c r="AK26" s="23">
        <v>35</v>
      </c>
      <c r="AL26" s="24">
        <v>0</v>
      </c>
      <c r="AM26" s="23">
        <v>12</v>
      </c>
      <c r="AN26" s="24">
        <v>59</v>
      </c>
      <c r="AO26" s="23">
        <v>47</v>
      </c>
      <c r="AP26" s="24">
        <v>59</v>
      </c>
      <c r="AQ26" s="23">
        <v>47</v>
      </c>
      <c r="AR26" s="24">
        <v>0</v>
      </c>
      <c r="AS26" s="20">
        <v>12</v>
      </c>
      <c r="AT26" s="19">
        <v>10</v>
      </c>
      <c r="AU26" s="23">
        <v>15</v>
      </c>
      <c r="AV26" s="24">
        <v>0</v>
      </c>
      <c r="AW26" s="23">
        <v>12</v>
      </c>
      <c r="AX26" s="24">
        <v>0</v>
      </c>
      <c r="AY26" s="23">
        <v>12</v>
      </c>
      <c r="AZ26" s="24">
        <v>0</v>
      </c>
      <c r="BA26" s="23">
        <v>12</v>
      </c>
      <c r="BB26" s="24">
        <v>10</v>
      </c>
      <c r="BC26" s="23">
        <v>15</v>
      </c>
      <c r="BD26" s="24">
        <v>10</v>
      </c>
      <c r="BE26" s="23">
        <v>15</v>
      </c>
      <c r="BF26" s="24">
        <v>0</v>
      </c>
      <c r="BG26" s="23">
        <v>12</v>
      </c>
      <c r="BH26" s="24">
        <v>0</v>
      </c>
      <c r="BI26" s="23">
        <v>12</v>
      </c>
      <c r="BJ26" s="24">
        <v>0</v>
      </c>
      <c r="BK26" s="23">
        <v>12</v>
      </c>
      <c r="BL26" s="24">
        <v>0</v>
      </c>
      <c r="BM26" s="20">
        <v>12</v>
      </c>
      <c r="BN26" s="19">
        <v>219</v>
      </c>
      <c r="BO26" s="23">
        <v>141</v>
      </c>
      <c r="BP26" s="24">
        <v>68</v>
      </c>
      <c r="BQ26" s="23">
        <v>83</v>
      </c>
      <c r="BR26" s="24">
        <v>68</v>
      </c>
      <c r="BS26" s="23">
        <v>83</v>
      </c>
      <c r="BT26" s="26">
        <v>0</v>
      </c>
      <c r="BU26" s="23">
        <v>12</v>
      </c>
      <c r="BV26" s="24">
        <v>151</v>
      </c>
      <c r="BW26" s="23">
        <v>91</v>
      </c>
      <c r="BX26" s="24">
        <v>151</v>
      </c>
      <c r="BY26" s="23">
        <v>91</v>
      </c>
      <c r="BZ26" s="24">
        <v>0</v>
      </c>
      <c r="CA26" s="23">
        <v>12</v>
      </c>
      <c r="CB26" s="24">
        <v>0</v>
      </c>
      <c r="CC26" s="23">
        <v>12</v>
      </c>
      <c r="CD26" s="24">
        <v>0</v>
      </c>
      <c r="CE26" s="23">
        <v>12</v>
      </c>
      <c r="CF26" s="24">
        <v>0</v>
      </c>
      <c r="CG26" s="20">
        <v>12</v>
      </c>
    </row>
    <row r="27" spans="1:85" x14ac:dyDescent="0.3">
      <c r="A27" t="s">
        <v>53</v>
      </c>
      <c r="B27">
        <v>20632</v>
      </c>
      <c r="C27" t="s">
        <v>54</v>
      </c>
      <c r="D27" s="19">
        <v>367</v>
      </c>
      <c r="E27" s="20">
        <v>159</v>
      </c>
      <c r="F27" s="19">
        <v>27</v>
      </c>
      <c r="G27" s="23">
        <v>49</v>
      </c>
      <c r="H27" s="24">
        <v>14</v>
      </c>
      <c r="I27" s="23">
        <v>32</v>
      </c>
      <c r="J27" s="24">
        <v>14</v>
      </c>
      <c r="K27" s="23">
        <v>32</v>
      </c>
      <c r="L27" s="24">
        <v>0</v>
      </c>
      <c r="M27" s="23">
        <v>24</v>
      </c>
      <c r="N27" s="24">
        <v>13</v>
      </c>
      <c r="O27" s="23">
        <v>30</v>
      </c>
      <c r="P27" s="24">
        <v>13</v>
      </c>
      <c r="Q27" s="23">
        <v>30</v>
      </c>
      <c r="R27" s="24">
        <v>0</v>
      </c>
      <c r="S27" s="23">
        <v>24</v>
      </c>
      <c r="T27" s="24">
        <v>0</v>
      </c>
      <c r="U27" s="23">
        <v>24</v>
      </c>
      <c r="V27" s="24">
        <v>0</v>
      </c>
      <c r="W27" s="23">
        <v>24</v>
      </c>
      <c r="X27" s="24">
        <v>0</v>
      </c>
      <c r="Y27" s="20">
        <v>24</v>
      </c>
      <c r="Z27" s="19">
        <v>0</v>
      </c>
      <c r="AA27" s="23">
        <v>12</v>
      </c>
      <c r="AB27" s="24">
        <v>0</v>
      </c>
      <c r="AC27" s="23">
        <v>12</v>
      </c>
      <c r="AD27" s="24">
        <v>0</v>
      </c>
      <c r="AE27" s="23">
        <v>12</v>
      </c>
      <c r="AF27" s="24">
        <v>0</v>
      </c>
      <c r="AG27" s="23">
        <v>12</v>
      </c>
      <c r="AH27" s="24">
        <v>0</v>
      </c>
      <c r="AI27" s="23">
        <v>12</v>
      </c>
      <c r="AJ27" s="24">
        <v>0</v>
      </c>
      <c r="AK27" s="23">
        <v>12</v>
      </c>
      <c r="AL27" s="24">
        <v>0</v>
      </c>
      <c r="AM27" s="23">
        <v>12</v>
      </c>
      <c r="AN27" s="24">
        <v>0</v>
      </c>
      <c r="AO27" s="23">
        <v>12</v>
      </c>
      <c r="AP27" s="24">
        <v>0</v>
      </c>
      <c r="AQ27" s="23">
        <v>12</v>
      </c>
      <c r="AR27" s="24">
        <v>0</v>
      </c>
      <c r="AS27" s="20">
        <v>12</v>
      </c>
      <c r="AT27" s="19">
        <v>212</v>
      </c>
      <c r="AU27" s="23">
        <v>157</v>
      </c>
      <c r="AV27" s="24">
        <v>67</v>
      </c>
      <c r="AW27" s="23">
        <v>56</v>
      </c>
      <c r="AX27" s="24">
        <v>67</v>
      </c>
      <c r="AY27" s="23">
        <v>56</v>
      </c>
      <c r="AZ27" s="24">
        <v>0</v>
      </c>
      <c r="BA27" s="23">
        <v>12</v>
      </c>
      <c r="BB27" s="24">
        <v>110</v>
      </c>
      <c r="BC27" s="23">
        <v>100</v>
      </c>
      <c r="BD27" s="24">
        <v>110</v>
      </c>
      <c r="BE27" s="23">
        <v>100</v>
      </c>
      <c r="BF27" s="24">
        <v>0</v>
      </c>
      <c r="BG27" s="23">
        <v>12</v>
      </c>
      <c r="BH27" s="24">
        <v>35</v>
      </c>
      <c r="BI27" s="23">
        <v>28</v>
      </c>
      <c r="BJ27" s="24">
        <v>35</v>
      </c>
      <c r="BK27" s="23">
        <v>28</v>
      </c>
      <c r="BL27" s="24">
        <v>0</v>
      </c>
      <c r="BM27" s="20">
        <v>12</v>
      </c>
      <c r="BN27" s="19">
        <v>128</v>
      </c>
      <c r="BO27" s="23">
        <v>103</v>
      </c>
      <c r="BP27" s="24">
        <v>0</v>
      </c>
      <c r="BQ27" s="23">
        <v>12</v>
      </c>
      <c r="BR27" s="24">
        <v>0</v>
      </c>
      <c r="BS27" s="23">
        <v>12</v>
      </c>
      <c r="BT27" s="26">
        <v>0</v>
      </c>
      <c r="BU27" s="23">
        <v>12</v>
      </c>
      <c r="BV27" s="24">
        <v>74</v>
      </c>
      <c r="BW27" s="23">
        <v>73</v>
      </c>
      <c r="BX27" s="24">
        <v>74</v>
      </c>
      <c r="BY27" s="23">
        <v>73</v>
      </c>
      <c r="BZ27" s="24">
        <v>0</v>
      </c>
      <c r="CA27" s="23">
        <v>12</v>
      </c>
      <c r="CB27" s="24">
        <v>54</v>
      </c>
      <c r="CC27" s="23">
        <v>70</v>
      </c>
      <c r="CD27" s="24">
        <v>54</v>
      </c>
      <c r="CE27" s="23">
        <v>70</v>
      </c>
      <c r="CF27" s="24">
        <v>0</v>
      </c>
      <c r="CG27" s="20">
        <v>12</v>
      </c>
    </row>
    <row r="28" spans="1:85" x14ac:dyDescent="0.3">
      <c r="A28" t="s">
        <v>55</v>
      </c>
      <c r="B28">
        <v>20634</v>
      </c>
      <c r="C28" t="s">
        <v>56</v>
      </c>
      <c r="D28" s="19">
        <v>7334</v>
      </c>
      <c r="E28" s="20">
        <v>880</v>
      </c>
      <c r="F28" s="19">
        <v>1116</v>
      </c>
      <c r="G28" s="23">
        <v>669</v>
      </c>
      <c r="H28" s="24">
        <v>425</v>
      </c>
      <c r="I28" s="23">
        <v>323</v>
      </c>
      <c r="J28" s="24">
        <v>425</v>
      </c>
      <c r="K28" s="23">
        <v>323</v>
      </c>
      <c r="L28" s="24">
        <v>0</v>
      </c>
      <c r="M28" s="23">
        <v>34</v>
      </c>
      <c r="N28" s="24">
        <v>580</v>
      </c>
      <c r="O28" s="23">
        <v>380</v>
      </c>
      <c r="P28" s="24">
        <v>483</v>
      </c>
      <c r="Q28" s="23">
        <v>338</v>
      </c>
      <c r="R28" s="24">
        <v>97</v>
      </c>
      <c r="S28" s="23">
        <v>110</v>
      </c>
      <c r="T28" s="24">
        <v>111</v>
      </c>
      <c r="U28" s="23">
        <v>116</v>
      </c>
      <c r="V28" s="24">
        <v>111</v>
      </c>
      <c r="W28" s="23">
        <v>116</v>
      </c>
      <c r="X28" s="24">
        <v>0</v>
      </c>
      <c r="Y28" s="20">
        <v>34</v>
      </c>
      <c r="Z28" s="19">
        <v>282</v>
      </c>
      <c r="AA28" s="23">
        <v>218</v>
      </c>
      <c r="AB28" s="24">
        <v>62</v>
      </c>
      <c r="AC28" s="23">
        <v>75</v>
      </c>
      <c r="AD28" s="24">
        <v>62</v>
      </c>
      <c r="AE28" s="23">
        <v>75</v>
      </c>
      <c r="AF28" s="24">
        <v>0</v>
      </c>
      <c r="AG28" s="23">
        <v>17</v>
      </c>
      <c r="AH28" s="24">
        <v>184</v>
      </c>
      <c r="AI28" s="23">
        <v>132</v>
      </c>
      <c r="AJ28" s="24">
        <v>184</v>
      </c>
      <c r="AK28" s="23">
        <v>132</v>
      </c>
      <c r="AL28" s="24">
        <v>0</v>
      </c>
      <c r="AM28" s="23">
        <v>17</v>
      </c>
      <c r="AN28" s="24">
        <v>36</v>
      </c>
      <c r="AO28" s="23">
        <v>56</v>
      </c>
      <c r="AP28" s="24">
        <v>36</v>
      </c>
      <c r="AQ28" s="23">
        <v>56</v>
      </c>
      <c r="AR28" s="24">
        <v>0</v>
      </c>
      <c r="AS28" s="20">
        <v>17</v>
      </c>
      <c r="AT28" s="19">
        <v>2866</v>
      </c>
      <c r="AU28" s="23">
        <v>778</v>
      </c>
      <c r="AV28" s="24">
        <v>853</v>
      </c>
      <c r="AW28" s="23">
        <v>367</v>
      </c>
      <c r="AX28" s="24">
        <v>853</v>
      </c>
      <c r="AY28" s="23">
        <v>367</v>
      </c>
      <c r="AZ28" s="24">
        <v>0</v>
      </c>
      <c r="BA28" s="23">
        <v>17</v>
      </c>
      <c r="BB28" s="24">
        <v>1880</v>
      </c>
      <c r="BC28" s="23">
        <v>515</v>
      </c>
      <c r="BD28" s="24">
        <v>1566</v>
      </c>
      <c r="BE28" s="23">
        <v>452</v>
      </c>
      <c r="BF28" s="24">
        <v>314</v>
      </c>
      <c r="BG28" s="23">
        <v>241</v>
      </c>
      <c r="BH28" s="24">
        <v>133</v>
      </c>
      <c r="BI28" s="23">
        <v>92</v>
      </c>
      <c r="BJ28" s="24">
        <v>133</v>
      </c>
      <c r="BK28" s="23">
        <v>92</v>
      </c>
      <c r="BL28" s="24">
        <v>0</v>
      </c>
      <c r="BM28" s="20">
        <v>17</v>
      </c>
      <c r="BN28" s="19">
        <v>3070</v>
      </c>
      <c r="BO28" s="23">
        <v>480</v>
      </c>
      <c r="BP28" s="24">
        <v>606</v>
      </c>
      <c r="BQ28" s="23">
        <v>223</v>
      </c>
      <c r="BR28" s="24">
        <v>586</v>
      </c>
      <c r="BS28" s="23">
        <v>219</v>
      </c>
      <c r="BT28" s="26">
        <v>20</v>
      </c>
      <c r="BU28" s="23">
        <v>31</v>
      </c>
      <c r="BV28" s="24">
        <v>2146</v>
      </c>
      <c r="BW28" s="23">
        <v>343</v>
      </c>
      <c r="BX28" s="24">
        <v>2079</v>
      </c>
      <c r="BY28" s="23">
        <v>338</v>
      </c>
      <c r="BZ28" s="24">
        <v>67</v>
      </c>
      <c r="CA28" s="23">
        <v>101</v>
      </c>
      <c r="CB28" s="24">
        <v>318</v>
      </c>
      <c r="CC28" s="23">
        <v>110</v>
      </c>
      <c r="CD28" s="24">
        <v>318</v>
      </c>
      <c r="CE28" s="23">
        <v>110</v>
      </c>
      <c r="CF28" s="24">
        <v>0</v>
      </c>
      <c r="CG28" s="20">
        <v>17</v>
      </c>
    </row>
    <row r="29" spans="1:85" x14ac:dyDescent="0.3">
      <c r="A29" t="s">
        <v>57</v>
      </c>
      <c r="B29">
        <v>20636</v>
      </c>
      <c r="C29" t="s">
        <v>58</v>
      </c>
      <c r="D29" s="19">
        <v>11217</v>
      </c>
      <c r="E29" s="20">
        <v>1178</v>
      </c>
      <c r="F29" s="19">
        <v>514</v>
      </c>
      <c r="G29" s="23">
        <v>373</v>
      </c>
      <c r="H29" s="24">
        <v>204</v>
      </c>
      <c r="I29" s="23">
        <v>222</v>
      </c>
      <c r="J29" s="24">
        <v>204</v>
      </c>
      <c r="K29" s="23">
        <v>222</v>
      </c>
      <c r="L29" s="24">
        <v>0</v>
      </c>
      <c r="M29" s="23">
        <v>38</v>
      </c>
      <c r="N29" s="24">
        <v>209</v>
      </c>
      <c r="O29" s="23">
        <v>182</v>
      </c>
      <c r="P29" s="24">
        <v>209</v>
      </c>
      <c r="Q29" s="23">
        <v>182</v>
      </c>
      <c r="R29" s="24">
        <v>0</v>
      </c>
      <c r="S29" s="23">
        <v>38</v>
      </c>
      <c r="T29" s="24">
        <v>101</v>
      </c>
      <c r="U29" s="23">
        <v>98</v>
      </c>
      <c r="V29" s="24">
        <v>101</v>
      </c>
      <c r="W29" s="23">
        <v>98</v>
      </c>
      <c r="X29" s="24">
        <v>0</v>
      </c>
      <c r="Y29" s="20">
        <v>38</v>
      </c>
      <c r="Z29" s="19">
        <v>542</v>
      </c>
      <c r="AA29" s="23">
        <v>313</v>
      </c>
      <c r="AB29" s="24">
        <v>134</v>
      </c>
      <c r="AC29" s="23">
        <v>167</v>
      </c>
      <c r="AD29" s="24">
        <v>134</v>
      </c>
      <c r="AE29" s="23">
        <v>167</v>
      </c>
      <c r="AF29" s="24">
        <v>0</v>
      </c>
      <c r="AG29" s="23">
        <v>19</v>
      </c>
      <c r="AH29" s="24">
        <v>209</v>
      </c>
      <c r="AI29" s="23">
        <v>142</v>
      </c>
      <c r="AJ29" s="24">
        <v>134</v>
      </c>
      <c r="AK29" s="23">
        <v>105</v>
      </c>
      <c r="AL29" s="24">
        <v>75</v>
      </c>
      <c r="AM29" s="23">
        <v>91</v>
      </c>
      <c r="AN29" s="24">
        <v>199</v>
      </c>
      <c r="AO29" s="23">
        <v>162</v>
      </c>
      <c r="AP29" s="24">
        <v>199</v>
      </c>
      <c r="AQ29" s="23">
        <v>162</v>
      </c>
      <c r="AR29" s="24">
        <v>0</v>
      </c>
      <c r="AS29" s="20">
        <v>19</v>
      </c>
      <c r="AT29" s="19">
        <v>3809</v>
      </c>
      <c r="AU29" s="23">
        <v>1078</v>
      </c>
      <c r="AV29" s="24">
        <v>1259</v>
      </c>
      <c r="AW29" s="23">
        <v>465</v>
      </c>
      <c r="AX29" s="24">
        <v>1216</v>
      </c>
      <c r="AY29" s="23">
        <v>458</v>
      </c>
      <c r="AZ29" s="24">
        <v>43</v>
      </c>
      <c r="BA29" s="23">
        <v>44</v>
      </c>
      <c r="BB29" s="24">
        <v>2108</v>
      </c>
      <c r="BC29" s="23">
        <v>592</v>
      </c>
      <c r="BD29" s="24">
        <v>1944</v>
      </c>
      <c r="BE29" s="23">
        <v>524</v>
      </c>
      <c r="BF29" s="24">
        <v>164</v>
      </c>
      <c r="BG29" s="23">
        <v>159</v>
      </c>
      <c r="BH29" s="24">
        <v>442</v>
      </c>
      <c r="BI29" s="23">
        <v>186</v>
      </c>
      <c r="BJ29" s="24">
        <v>442</v>
      </c>
      <c r="BK29" s="23">
        <v>186</v>
      </c>
      <c r="BL29" s="24">
        <v>0</v>
      </c>
      <c r="BM29" s="20">
        <v>19</v>
      </c>
      <c r="BN29" s="19">
        <v>6352</v>
      </c>
      <c r="BO29" s="23">
        <v>759</v>
      </c>
      <c r="BP29" s="24">
        <v>1614</v>
      </c>
      <c r="BQ29" s="23">
        <v>338</v>
      </c>
      <c r="BR29" s="24">
        <v>1614</v>
      </c>
      <c r="BS29" s="23">
        <v>338</v>
      </c>
      <c r="BT29" s="26">
        <v>0</v>
      </c>
      <c r="BU29" s="23">
        <v>19</v>
      </c>
      <c r="BV29" s="24">
        <v>3984</v>
      </c>
      <c r="BW29" s="23">
        <v>520</v>
      </c>
      <c r="BX29" s="24">
        <v>3940</v>
      </c>
      <c r="BY29" s="23">
        <v>517</v>
      </c>
      <c r="BZ29" s="24">
        <v>44</v>
      </c>
      <c r="CA29" s="23">
        <v>50</v>
      </c>
      <c r="CB29" s="24">
        <v>754</v>
      </c>
      <c r="CC29" s="23">
        <v>153</v>
      </c>
      <c r="CD29" s="24">
        <v>754</v>
      </c>
      <c r="CE29" s="23">
        <v>153</v>
      </c>
      <c r="CF29" s="24">
        <v>0</v>
      </c>
      <c r="CG29" s="20">
        <v>19</v>
      </c>
    </row>
    <row r="30" spans="1:85" x14ac:dyDescent="0.3">
      <c r="A30" t="s">
        <v>59</v>
      </c>
      <c r="B30">
        <v>20637</v>
      </c>
      <c r="C30" t="s">
        <v>60</v>
      </c>
      <c r="D30" s="19">
        <v>5144</v>
      </c>
      <c r="E30" s="20">
        <v>550</v>
      </c>
      <c r="F30" s="19">
        <v>366</v>
      </c>
      <c r="G30" s="23">
        <v>250</v>
      </c>
      <c r="H30" s="24">
        <v>72</v>
      </c>
      <c r="I30" s="23">
        <v>122</v>
      </c>
      <c r="J30" s="24">
        <v>72</v>
      </c>
      <c r="K30" s="23">
        <v>122</v>
      </c>
      <c r="L30" s="24">
        <v>0</v>
      </c>
      <c r="M30" s="23">
        <v>34</v>
      </c>
      <c r="N30" s="24">
        <v>280</v>
      </c>
      <c r="O30" s="23">
        <v>205</v>
      </c>
      <c r="P30" s="24">
        <v>241</v>
      </c>
      <c r="Q30" s="23">
        <v>195</v>
      </c>
      <c r="R30" s="24">
        <v>39</v>
      </c>
      <c r="S30" s="23">
        <v>69</v>
      </c>
      <c r="T30" s="24">
        <v>14</v>
      </c>
      <c r="U30" s="23">
        <v>40</v>
      </c>
      <c r="V30" s="24">
        <v>14</v>
      </c>
      <c r="W30" s="23">
        <v>40</v>
      </c>
      <c r="X30" s="24">
        <v>0</v>
      </c>
      <c r="Y30" s="20">
        <v>34</v>
      </c>
      <c r="Z30" s="19">
        <v>48</v>
      </c>
      <c r="AA30" s="23">
        <v>41</v>
      </c>
      <c r="AB30" s="24">
        <v>0</v>
      </c>
      <c r="AC30" s="23">
        <v>17</v>
      </c>
      <c r="AD30" s="24">
        <v>0</v>
      </c>
      <c r="AE30" s="23">
        <v>17</v>
      </c>
      <c r="AF30" s="24">
        <v>0</v>
      </c>
      <c r="AG30" s="23">
        <v>17</v>
      </c>
      <c r="AH30" s="24">
        <v>8</v>
      </c>
      <c r="AI30" s="23">
        <v>12</v>
      </c>
      <c r="AJ30" s="24">
        <v>8</v>
      </c>
      <c r="AK30" s="23">
        <v>12</v>
      </c>
      <c r="AL30" s="24">
        <v>0</v>
      </c>
      <c r="AM30" s="23">
        <v>17</v>
      </c>
      <c r="AN30" s="24">
        <v>40</v>
      </c>
      <c r="AO30" s="23">
        <v>38</v>
      </c>
      <c r="AP30" s="24">
        <v>40</v>
      </c>
      <c r="AQ30" s="23">
        <v>38</v>
      </c>
      <c r="AR30" s="24">
        <v>0</v>
      </c>
      <c r="AS30" s="20">
        <v>17</v>
      </c>
      <c r="AT30" s="19">
        <v>1120</v>
      </c>
      <c r="AU30" s="23">
        <v>391</v>
      </c>
      <c r="AV30" s="24">
        <v>323</v>
      </c>
      <c r="AW30" s="23">
        <v>202</v>
      </c>
      <c r="AX30" s="24">
        <v>256</v>
      </c>
      <c r="AY30" s="23">
        <v>188</v>
      </c>
      <c r="AZ30" s="24">
        <v>67</v>
      </c>
      <c r="BA30" s="23">
        <v>104</v>
      </c>
      <c r="BB30" s="24">
        <v>603</v>
      </c>
      <c r="BC30" s="23">
        <v>226</v>
      </c>
      <c r="BD30" s="24">
        <v>557</v>
      </c>
      <c r="BE30" s="23">
        <v>221</v>
      </c>
      <c r="BF30" s="24">
        <v>46</v>
      </c>
      <c r="BG30" s="23">
        <v>42</v>
      </c>
      <c r="BH30" s="24">
        <v>194</v>
      </c>
      <c r="BI30" s="23">
        <v>93</v>
      </c>
      <c r="BJ30" s="24">
        <v>194</v>
      </c>
      <c r="BK30" s="23">
        <v>93</v>
      </c>
      <c r="BL30" s="24">
        <v>0</v>
      </c>
      <c r="BM30" s="20">
        <v>17</v>
      </c>
      <c r="BN30" s="19">
        <v>3610</v>
      </c>
      <c r="BO30" s="23">
        <v>548</v>
      </c>
      <c r="BP30" s="24">
        <v>626</v>
      </c>
      <c r="BQ30" s="23">
        <v>211</v>
      </c>
      <c r="BR30" s="24">
        <v>616</v>
      </c>
      <c r="BS30" s="23">
        <v>212</v>
      </c>
      <c r="BT30" s="26">
        <v>10</v>
      </c>
      <c r="BU30" s="23">
        <v>17</v>
      </c>
      <c r="BV30" s="24">
        <v>2474</v>
      </c>
      <c r="BW30" s="23">
        <v>393</v>
      </c>
      <c r="BX30" s="24">
        <v>2435</v>
      </c>
      <c r="BY30" s="23">
        <v>379</v>
      </c>
      <c r="BZ30" s="24">
        <v>39</v>
      </c>
      <c r="CA30" s="23">
        <v>44</v>
      </c>
      <c r="CB30" s="24">
        <v>510</v>
      </c>
      <c r="CC30" s="23">
        <v>128</v>
      </c>
      <c r="CD30" s="24">
        <v>510</v>
      </c>
      <c r="CE30" s="23">
        <v>128</v>
      </c>
      <c r="CF30" s="24">
        <v>0</v>
      </c>
      <c r="CG30" s="20">
        <v>17</v>
      </c>
    </row>
    <row r="31" spans="1:85" x14ac:dyDescent="0.3">
      <c r="A31" t="s">
        <v>61</v>
      </c>
      <c r="B31">
        <v>20639</v>
      </c>
      <c r="C31" t="s">
        <v>62</v>
      </c>
      <c r="D31" s="19">
        <v>14457</v>
      </c>
      <c r="E31" s="20">
        <v>764</v>
      </c>
      <c r="F31" s="19">
        <v>1000</v>
      </c>
      <c r="G31" s="23">
        <v>546</v>
      </c>
      <c r="H31" s="24">
        <v>373</v>
      </c>
      <c r="I31" s="23">
        <v>346</v>
      </c>
      <c r="J31" s="24">
        <v>358</v>
      </c>
      <c r="K31" s="23">
        <v>324</v>
      </c>
      <c r="L31" s="24">
        <v>15</v>
      </c>
      <c r="M31" s="23">
        <v>43</v>
      </c>
      <c r="N31" s="24">
        <v>560</v>
      </c>
      <c r="O31" s="23">
        <v>304</v>
      </c>
      <c r="P31" s="24">
        <v>461</v>
      </c>
      <c r="Q31" s="23">
        <v>250</v>
      </c>
      <c r="R31" s="24">
        <v>99</v>
      </c>
      <c r="S31" s="23">
        <v>128</v>
      </c>
      <c r="T31" s="24">
        <v>67</v>
      </c>
      <c r="U31" s="23">
        <v>72</v>
      </c>
      <c r="V31" s="24">
        <v>67</v>
      </c>
      <c r="W31" s="23">
        <v>72</v>
      </c>
      <c r="X31" s="24">
        <v>0</v>
      </c>
      <c r="Y31" s="20">
        <v>38</v>
      </c>
      <c r="Z31" s="19">
        <v>218</v>
      </c>
      <c r="AA31" s="23">
        <v>174</v>
      </c>
      <c r="AB31" s="24">
        <v>89</v>
      </c>
      <c r="AC31" s="23">
        <v>97</v>
      </c>
      <c r="AD31" s="24">
        <v>50</v>
      </c>
      <c r="AE31" s="23">
        <v>47</v>
      </c>
      <c r="AF31" s="24">
        <v>39</v>
      </c>
      <c r="AG31" s="23">
        <v>59</v>
      </c>
      <c r="AH31" s="24">
        <v>93</v>
      </c>
      <c r="AI31" s="23">
        <v>78</v>
      </c>
      <c r="AJ31" s="24">
        <v>49</v>
      </c>
      <c r="AK31" s="23">
        <v>44</v>
      </c>
      <c r="AL31" s="24">
        <v>44</v>
      </c>
      <c r="AM31" s="23">
        <v>55</v>
      </c>
      <c r="AN31" s="24">
        <v>36</v>
      </c>
      <c r="AO31" s="23">
        <v>34</v>
      </c>
      <c r="AP31" s="24">
        <v>36</v>
      </c>
      <c r="AQ31" s="23">
        <v>34</v>
      </c>
      <c r="AR31" s="24">
        <v>0</v>
      </c>
      <c r="AS31" s="20">
        <v>19</v>
      </c>
      <c r="AT31" s="19">
        <v>2743</v>
      </c>
      <c r="AU31" s="23">
        <v>652</v>
      </c>
      <c r="AV31" s="24">
        <v>805</v>
      </c>
      <c r="AW31" s="23">
        <v>279</v>
      </c>
      <c r="AX31" s="24">
        <v>618</v>
      </c>
      <c r="AY31" s="23">
        <v>208</v>
      </c>
      <c r="AZ31" s="24">
        <v>187</v>
      </c>
      <c r="BA31" s="23">
        <v>207</v>
      </c>
      <c r="BB31" s="24">
        <v>1465</v>
      </c>
      <c r="BC31" s="23">
        <v>392</v>
      </c>
      <c r="BD31" s="24">
        <v>1282</v>
      </c>
      <c r="BE31" s="23">
        <v>344</v>
      </c>
      <c r="BF31" s="24">
        <v>183</v>
      </c>
      <c r="BG31" s="23">
        <v>161</v>
      </c>
      <c r="BH31" s="24">
        <v>473</v>
      </c>
      <c r="BI31" s="23">
        <v>177</v>
      </c>
      <c r="BJ31" s="24">
        <v>473</v>
      </c>
      <c r="BK31" s="23">
        <v>177</v>
      </c>
      <c r="BL31" s="24">
        <v>0</v>
      </c>
      <c r="BM31" s="20">
        <v>19</v>
      </c>
      <c r="BN31" s="19">
        <v>10496</v>
      </c>
      <c r="BO31" s="23">
        <v>900</v>
      </c>
      <c r="BP31" s="24">
        <v>2726</v>
      </c>
      <c r="BQ31" s="23">
        <v>376</v>
      </c>
      <c r="BR31" s="24">
        <v>2709</v>
      </c>
      <c r="BS31" s="23">
        <v>374</v>
      </c>
      <c r="BT31" s="26">
        <v>17</v>
      </c>
      <c r="BU31" s="23">
        <v>25</v>
      </c>
      <c r="BV31" s="24">
        <v>6511</v>
      </c>
      <c r="BW31" s="23">
        <v>498</v>
      </c>
      <c r="BX31" s="24">
        <v>6311</v>
      </c>
      <c r="BY31" s="23">
        <v>476</v>
      </c>
      <c r="BZ31" s="24">
        <v>200</v>
      </c>
      <c r="CA31" s="23">
        <v>119</v>
      </c>
      <c r="CB31" s="24">
        <v>1259</v>
      </c>
      <c r="CC31" s="23">
        <v>254</v>
      </c>
      <c r="CD31" s="24">
        <v>1259</v>
      </c>
      <c r="CE31" s="23">
        <v>254</v>
      </c>
      <c r="CF31" s="24">
        <v>0</v>
      </c>
      <c r="CG31" s="20">
        <v>19</v>
      </c>
    </row>
    <row r="32" spans="1:85" x14ac:dyDescent="0.3">
      <c r="A32" t="s">
        <v>63</v>
      </c>
      <c r="B32">
        <v>20640</v>
      </c>
      <c r="C32" t="s">
        <v>64</v>
      </c>
      <c r="D32" s="19">
        <v>10126</v>
      </c>
      <c r="E32" s="20">
        <v>604</v>
      </c>
      <c r="F32" s="19">
        <v>1785</v>
      </c>
      <c r="G32" s="23">
        <v>676</v>
      </c>
      <c r="H32" s="24">
        <v>698</v>
      </c>
      <c r="I32" s="23">
        <v>372</v>
      </c>
      <c r="J32" s="24">
        <v>689</v>
      </c>
      <c r="K32" s="23">
        <v>372</v>
      </c>
      <c r="L32" s="24">
        <v>9</v>
      </c>
      <c r="M32" s="23">
        <v>33</v>
      </c>
      <c r="N32" s="24">
        <v>901</v>
      </c>
      <c r="O32" s="23">
        <v>357</v>
      </c>
      <c r="P32" s="24">
        <v>755</v>
      </c>
      <c r="Q32" s="23">
        <v>329</v>
      </c>
      <c r="R32" s="24">
        <v>146</v>
      </c>
      <c r="S32" s="23">
        <v>107</v>
      </c>
      <c r="T32" s="24">
        <v>186</v>
      </c>
      <c r="U32" s="23">
        <v>99</v>
      </c>
      <c r="V32" s="24">
        <v>175</v>
      </c>
      <c r="W32" s="23">
        <v>96</v>
      </c>
      <c r="X32" s="24">
        <v>11</v>
      </c>
      <c r="Y32" s="20">
        <v>35</v>
      </c>
      <c r="Z32" s="19">
        <v>836</v>
      </c>
      <c r="AA32" s="23">
        <v>291</v>
      </c>
      <c r="AB32" s="24">
        <v>289</v>
      </c>
      <c r="AC32" s="23">
        <v>187</v>
      </c>
      <c r="AD32" s="24">
        <v>278</v>
      </c>
      <c r="AE32" s="23">
        <v>186</v>
      </c>
      <c r="AF32" s="24">
        <v>11</v>
      </c>
      <c r="AG32" s="23">
        <v>15</v>
      </c>
      <c r="AH32" s="24">
        <v>425</v>
      </c>
      <c r="AI32" s="23">
        <v>148</v>
      </c>
      <c r="AJ32" s="24">
        <v>348</v>
      </c>
      <c r="AK32" s="23">
        <v>129</v>
      </c>
      <c r="AL32" s="24">
        <v>77</v>
      </c>
      <c r="AM32" s="23">
        <v>53</v>
      </c>
      <c r="AN32" s="24">
        <v>122</v>
      </c>
      <c r="AO32" s="23">
        <v>59</v>
      </c>
      <c r="AP32" s="24">
        <v>118</v>
      </c>
      <c r="AQ32" s="23">
        <v>59</v>
      </c>
      <c r="AR32" s="24">
        <v>4</v>
      </c>
      <c r="AS32" s="20">
        <v>6</v>
      </c>
      <c r="AT32" s="19">
        <v>3187</v>
      </c>
      <c r="AU32" s="23">
        <v>648</v>
      </c>
      <c r="AV32" s="24">
        <v>968</v>
      </c>
      <c r="AW32" s="23">
        <v>279</v>
      </c>
      <c r="AX32" s="24">
        <v>968</v>
      </c>
      <c r="AY32" s="23">
        <v>279</v>
      </c>
      <c r="AZ32" s="24">
        <v>0</v>
      </c>
      <c r="BA32" s="23">
        <v>19</v>
      </c>
      <c r="BB32" s="24">
        <v>1833</v>
      </c>
      <c r="BC32" s="23">
        <v>379</v>
      </c>
      <c r="BD32" s="24">
        <v>1701</v>
      </c>
      <c r="BE32" s="23">
        <v>366</v>
      </c>
      <c r="BF32" s="24">
        <v>132</v>
      </c>
      <c r="BG32" s="23">
        <v>70</v>
      </c>
      <c r="BH32" s="24">
        <v>386</v>
      </c>
      <c r="BI32" s="23">
        <v>118</v>
      </c>
      <c r="BJ32" s="24">
        <v>386</v>
      </c>
      <c r="BK32" s="23">
        <v>118</v>
      </c>
      <c r="BL32" s="24">
        <v>0</v>
      </c>
      <c r="BM32" s="20">
        <v>19</v>
      </c>
      <c r="BN32" s="19">
        <v>4318</v>
      </c>
      <c r="BO32" s="23">
        <v>538</v>
      </c>
      <c r="BP32" s="24">
        <v>854</v>
      </c>
      <c r="BQ32" s="23">
        <v>273</v>
      </c>
      <c r="BR32" s="24">
        <v>846</v>
      </c>
      <c r="BS32" s="23">
        <v>273</v>
      </c>
      <c r="BT32" s="26">
        <v>8</v>
      </c>
      <c r="BU32" s="23">
        <v>12</v>
      </c>
      <c r="BV32" s="24">
        <v>3022</v>
      </c>
      <c r="BW32" s="23">
        <v>321</v>
      </c>
      <c r="BX32" s="24">
        <v>2897</v>
      </c>
      <c r="BY32" s="23">
        <v>315</v>
      </c>
      <c r="BZ32" s="24">
        <v>125</v>
      </c>
      <c r="CA32" s="23">
        <v>72</v>
      </c>
      <c r="CB32" s="24">
        <v>442</v>
      </c>
      <c r="CC32" s="23">
        <v>107</v>
      </c>
      <c r="CD32" s="24">
        <v>442</v>
      </c>
      <c r="CE32" s="23">
        <v>107</v>
      </c>
      <c r="CF32" s="24">
        <v>0</v>
      </c>
      <c r="CG32" s="20">
        <v>19</v>
      </c>
    </row>
    <row r="33" spans="1:85" x14ac:dyDescent="0.3">
      <c r="A33" t="s">
        <v>65</v>
      </c>
      <c r="B33">
        <v>20645</v>
      </c>
      <c r="C33" t="s">
        <v>66</v>
      </c>
      <c r="D33" s="19">
        <v>920</v>
      </c>
      <c r="E33" s="20">
        <v>234</v>
      </c>
      <c r="F33" s="19">
        <v>24</v>
      </c>
      <c r="G33" s="23">
        <v>38</v>
      </c>
      <c r="H33" s="24">
        <v>0</v>
      </c>
      <c r="I33" s="23">
        <v>24</v>
      </c>
      <c r="J33" s="24">
        <v>0</v>
      </c>
      <c r="K33" s="23">
        <v>24</v>
      </c>
      <c r="L33" s="24">
        <v>0</v>
      </c>
      <c r="M33" s="23">
        <v>24</v>
      </c>
      <c r="N33" s="24">
        <v>0</v>
      </c>
      <c r="O33" s="23">
        <v>24</v>
      </c>
      <c r="P33" s="24">
        <v>0</v>
      </c>
      <c r="Q33" s="23">
        <v>24</v>
      </c>
      <c r="R33" s="24">
        <v>0</v>
      </c>
      <c r="S33" s="23">
        <v>24</v>
      </c>
      <c r="T33" s="24">
        <v>24</v>
      </c>
      <c r="U33" s="23">
        <v>38</v>
      </c>
      <c r="V33" s="24">
        <v>24</v>
      </c>
      <c r="W33" s="23">
        <v>38</v>
      </c>
      <c r="X33" s="24">
        <v>0</v>
      </c>
      <c r="Y33" s="20">
        <v>24</v>
      </c>
      <c r="Z33" s="19">
        <v>157</v>
      </c>
      <c r="AA33" s="23">
        <v>171</v>
      </c>
      <c r="AB33" s="24">
        <v>88</v>
      </c>
      <c r="AC33" s="23">
        <v>97</v>
      </c>
      <c r="AD33" s="24">
        <v>88</v>
      </c>
      <c r="AE33" s="23">
        <v>97</v>
      </c>
      <c r="AF33" s="24">
        <v>0</v>
      </c>
      <c r="AG33" s="23">
        <v>12</v>
      </c>
      <c r="AH33" s="24">
        <v>69</v>
      </c>
      <c r="AI33" s="23">
        <v>74</v>
      </c>
      <c r="AJ33" s="24">
        <v>69</v>
      </c>
      <c r="AK33" s="23">
        <v>74</v>
      </c>
      <c r="AL33" s="24">
        <v>0</v>
      </c>
      <c r="AM33" s="23">
        <v>12</v>
      </c>
      <c r="AN33" s="24">
        <v>0</v>
      </c>
      <c r="AO33" s="23">
        <v>12</v>
      </c>
      <c r="AP33" s="24">
        <v>0</v>
      </c>
      <c r="AQ33" s="23">
        <v>12</v>
      </c>
      <c r="AR33" s="24">
        <v>0</v>
      </c>
      <c r="AS33" s="20">
        <v>12</v>
      </c>
      <c r="AT33" s="19">
        <v>108</v>
      </c>
      <c r="AU33" s="23">
        <v>94</v>
      </c>
      <c r="AV33" s="24">
        <v>18</v>
      </c>
      <c r="AW33" s="23">
        <v>28</v>
      </c>
      <c r="AX33" s="24">
        <v>18</v>
      </c>
      <c r="AY33" s="23">
        <v>28</v>
      </c>
      <c r="AZ33" s="24">
        <v>0</v>
      </c>
      <c r="BA33" s="23">
        <v>12</v>
      </c>
      <c r="BB33" s="24">
        <v>80</v>
      </c>
      <c r="BC33" s="23">
        <v>76</v>
      </c>
      <c r="BD33" s="24">
        <v>66</v>
      </c>
      <c r="BE33" s="23">
        <v>59</v>
      </c>
      <c r="BF33" s="24">
        <v>14</v>
      </c>
      <c r="BG33" s="23">
        <v>22</v>
      </c>
      <c r="BH33" s="24">
        <v>10</v>
      </c>
      <c r="BI33" s="23">
        <v>16</v>
      </c>
      <c r="BJ33" s="24">
        <v>10</v>
      </c>
      <c r="BK33" s="23">
        <v>16</v>
      </c>
      <c r="BL33" s="24">
        <v>0</v>
      </c>
      <c r="BM33" s="20">
        <v>12</v>
      </c>
      <c r="BN33" s="19">
        <v>631</v>
      </c>
      <c r="BO33" s="23">
        <v>193</v>
      </c>
      <c r="BP33" s="24">
        <v>173</v>
      </c>
      <c r="BQ33" s="23">
        <v>99</v>
      </c>
      <c r="BR33" s="24">
        <v>173</v>
      </c>
      <c r="BS33" s="23">
        <v>99</v>
      </c>
      <c r="BT33" s="26">
        <v>0</v>
      </c>
      <c r="BU33" s="23">
        <v>12</v>
      </c>
      <c r="BV33" s="24">
        <v>353</v>
      </c>
      <c r="BW33" s="23">
        <v>121</v>
      </c>
      <c r="BX33" s="24">
        <v>353</v>
      </c>
      <c r="BY33" s="23">
        <v>121</v>
      </c>
      <c r="BZ33" s="24">
        <v>0</v>
      </c>
      <c r="CA33" s="23">
        <v>12</v>
      </c>
      <c r="CB33" s="24">
        <v>105</v>
      </c>
      <c r="CC33" s="23">
        <v>59</v>
      </c>
      <c r="CD33" s="24">
        <v>105</v>
      </c>
      <c r="CE33" s="23">
        <v>59</v>
      </c>
      <c r="CF33" s="24">
        <v>0</v>
      </c>
      <c r="CG33" s="20">
        <v>12</v>
      </c>
    </row>
    <row r="34" spans="1:85" x14ac:dyDescent="0.3">
      <c r="A34" t="s">
        <v>67</v>
      </c>
      <c r="B34">
        <v>20646</v>
      </c>
      <c r="C34" t="s">
        <v>68</v>
      </c>
      <c r="D34" s="19">
        <v>19226</v>
      </c>
      <c r="E34" s="20">
        <v>921</v>
      </c>
      <c r="F34" s="19">
        <v>1519</v>
      </c>
      <c r="G34" s="23">
        <v>717</v>
      </c>
      <c r="H34" s="24">
        <v>556</v>
      </c>
      <c r="I34" s="23">
        <v>428</v>
      </c>
      <c r="J34" s="24">
        <v>529</v>
      </c>
      <c r="K34" s="23">
        <v>408</v>
      </c>
      <c r="L34" s="24">
        <v>27</v>
      </c>
      <c r="M34" s="23">
        <v>54</v>
      </c>
      <c r="N34" s="24">
        <v>565</v>
      </c>
      <c r="O34" s="23">
        <v>312</v>
      </c>
      <c r="P34" s="24">
        <v>513</v>
      </c>
      <c r="Q34" s="23">
        <v>302</v>
      </c>
      <c r="R34" s="24">
        <v>52</v>
      </c>
      <c r="S34" s="23">
        <v>70</v>
      </c>
      <c r="T34" s="24">
        <v>398</v>
      </c>
      <c r="U34" s="23">
        <v>194</v>
      </c>
      <c r="V34" s="24">
        <v>392</v>
      </c>
      <c r="W34" s="23">
        <v>193</v>
      </c>
      <c r="X34" s="24">
        <v>6</v>
      </c>
      <c r="Y34" s="20">
        <v>32</v>
      </c>
      <c r="Z34" s="19">
        <v>1682</v>
      </c>
      <c r="AA34" s="23">
        <v>680</v>
      </c>
      <c r="AB34" s="24">
        <v>580</v>
      </c>
      <c r="AC34" s="23">
        <v>382</v>
      </c>
      <c r="AD34" s="24">
        <v>525</v>
      </c>
      <c r="AE34" s="23">
        <v>379</v>
      </c>
      <c r="AF34" s="24">
        <v>55</v>
      </c>
      <c r="AG34" s="23">
        <v>84</v>
      </c>
      <c r="AH34" s="24">
        <v>967</v>
      </c>
      <c r="AI34" s="23">
        <v>365</v>
      </c>
      <c r="AJ34" s="24">
        <v>820</v>
      </c>
      <c r="AK34" s="23">
        <v>307</v>
      </c>
      <c r="AL34" s="24">
        <v>147</v>
      </c>
      <c r="AM34" s="23">
        <v>116</v>
      </c>
      <c r="AN34" s="24">
        <v>135</v>
      </c>
      <c r="AO34" s="23">
        <v>81</v>
      </c>
      <c r="AP34" s="24">
        <v>135</v>
      </c>
      <c r="AQ34" s="23">
        <v>81</v>
      </c>
      <c r="AR34" s="24">
        <v>0</v>
      </c>
      <c r="AS34" s="20">
        <v>22</v>
      </c>
      <c r="AT34" s="19">
        <v>3979</v>
      </c>
      <c r="AU34" s="23">
        <v>622</v>
      </c>
      <c r="AV34" s="24">
        <v>1206</v>
      </c>
      <c r="AW34" s="23">
        <v>335</v>
      </c>
      <c r="AX34" s="24">
        <v>1160</v>
      </c>
      <c r="AY34" s="23">
        <v>327</v>
      </c>
      <c r="AZ34" s="24">
        <v>46</v>
      </c>
      <c r="BA34" s="23">
        <v>55</v>
      </c>
      <c r="BB34" s="24">
        <v>2144</v>
      </c>
      <c r="BC34" s="23">
        <v>369</v>
      </c>
      <c r="BD34" s="24">
        <v>1927</v>
      </c>
      <c r="BE34" s="23">
        <v>341</v>
      </c>
      <c r="BF34" s="24">
        <v>217</v>
      </c>
      <c r="BG34" s="23">
        <v>135</v>
      </c>
      <c r="BH34" s="24">
        <v>629</v>
      </c>
      <c r="BI34" s="23">
        <v>150</v>
      </c>
      <c r="BJ34" s="24">
        <v>629</v>
      </c>
      <c r="BK34" s="23">
        <v>150</v>
      </c>
      <c r="BL34" s="24">
        <v>0</v>
      </c>
      <c r="BM34" s="20">
        <v>22</v>
      </c>
      <c r="BN34" s="19">
        <v>12046</v>
      </c>
      <c r="BO34" s="23">
        <v>954</v>
      </c>
      <c r="BP34" s="24">
        <v>2478</v>
      </c>
      <c r="BQ34" s="23">
        <v>391</v>
      </c>
      <c r="BR34" s="24">
        <v>2478</v>
      </c>
      <c r="BS34" s="23">
        <v>391</v>
      </c>
      <c r="BT34" s="26">
        <v>0</v>
      </c>
      <c r="BU34" s="23">
        <v>22</v>
      </c>
      <c r="BV34" s="24">
        <v>7765</v>
      </c>
      <c r="BW34" s="23">
        <v>647</v>
      </c>
      <c r="BX34" s="24">
        <v>7474</v>
      </c>
      <c r="BY34" s="23">
        <v>599</v>
      </c>
      <c r="BZ34" s="24">
        <v>291</v>
      </c>
      <c r="CA34" s="23">
        <v>140</v>
      </c>
      <c r="CB34" s="24">
        <v>1803</v>
      </c>
      <c r="CC34" s="23">
        <v>240</v>
      </c>
      <c r="CD34" s="24">
        <v>1803</v>
      </c>
      <c r="CE34" s="23">
        <v>240</v>
      </c>
      <c r="CF34" s="24">
        <v>0</v>
      </c>
      <c r="CG34" s="20">
        <v>22</v>
      </c>
    </row>
    <row r="35" spans="1:85" x14ac:dyDescent="0.3">
      <c r="A35" t="s">
        <v>69</v>
      </c>
      <c r="B35">
        <v>20650</v>
      </c>
      <c r="C35" t="s">
        <v>70</v>
      </c>
      <c r="D35" s="19">
        <v>13626</v>
      </c>
      <c r="E35" s="20">
        <v>875</v>
      </c>
      <c r="F35" s="19">
        <v>1704</v>
      </c>
      <c r="G35" s="23">
        <v>657</v>
      </c>
      <c r="H35" s="24">
        <v>702</v>
      </c>
      <c r="I35" s="23">
        <v>467</v>
      </c>
      <c r="J35" s="24">
        <v>567</v>
      </c>
      <c r="K35" s="23">
        <v>337</v>
      </c>
      <c r="L35" s="24">
        <v>135</v>
      </c>
      <c r="M35" s="23">
        <v>212</v>
      </c>
      <c r="N35" s="24">
        <v>773</v>
      </c>
      <c r="O35" s="23">
        <v>296</v>
      </c>
      <c r="P35" s="24">
        <v>598</v>
      </c>
      <c r="Q35" s="23">
        <v>277</v>
      </c>
      <c r="R35" s="24">
        <v>175</v>
      </c>
      <c r="S35" s="23">
        <v>146</v>
      </c>
      <c r="T35" s="24">
        <v>229</v>
      </c>
      <c r="U35" s="23">
        <v>121</v>
      </c>
      <c r="V35" s="24">
        <v>229</v>
      </c>
      <c r="W35" s="23">
        <v>121</v>
      </c>
      <c r="X35" s="24">
        <v>0</v>
      </c>
      <c r="Y35" s="20">
        <v>38</v>
      </c>
      <c r="Z35" s="19">
        <v>350</v>
      </c>
      <c r="AA35" s="23">
        <v>204</v>
      </c>
      <c r="AB35" s="24">
        <v>79</v>
      </c>
      <c r="AC35" s="23">
        <v>73</v>
      </c>
      <c r="AD35" s="24">
        <v>64</v>
      </c>
      <c r="AE35" s="23">
        <v>70</v>
      </c>
      <c r="AF35" s="24">
        <v>15</v>
      </c>
      <c r="AG35" s="23">
        <v>24</v>
      </c>
      <c r="AH35" s="24">
        <v>173</v>
      </c>
      <c r="AI35" s="23">
        <v>131</v>
      </c>
      <c r="AJ35" s="24">
        <v>150</v>
      </c>
      <c r="AK35" s="23">
        <v>127</v>
      </c>
      <c r="AL35" s="24">
        <v>23</v>
      </c>
      <c r="AM35" s="23">
        <v>37</v>
      </c>
      <c r="AN35" s="24">
        <v>98</v>
      </c>
      <c r="AO35" s="23">
        <v>59</v>
      </c>
      <c r="AP35" s="24">
        <v>98</v>
      </c>
      <c r="AQ35" s="23">
        <v>59</v>
      </c>
      <c r="AR35" s="24">
        <v>0</v>
      </c>
      <c r="AS35" s="20">
        <v>19</v>
      </c>
      <c r="AT35" s="19">
        <v>3112</v>
      </c>
      <c r="AU35" s="23">
        <v>656</v>
      </c>
      <c r="AV35" s="24">
        <v>1054</v>
      </c>
      <c r="AW35" s="23">
        <v>283</v>
      </c>
      <c r="AX35" s="24">
        <v>1017</v>
      </c>
      <c r="AY35" s="23">
        <v>299</v>
      </c>
      <c r="AZ35" s="24">
        <v>37</v>
      </c>
      <c r="BA35" s="23">
        <v>58</v>
      </c>
      <c r="BB35" s="24">
        <v>1458</v>
      </c>
      <c r="BC35" s="23">
        <v>360</v>
      </c>
      <c r="BD35" s="24">
        <v>1275</v>
      </c>
      <c r="BE35" s="23">
        <v>347</v>
      </c>
      <c r="BF35" s="24">
        <v>183</v>
      </c>
      <c r="BG35" s="23">
        <v>131</v>
      </c>
      <c r="BH35" s="24">
        <v>600</v>
      </c>
      <c r="BI35" s="23">
        <v>183</v>
      </c>
      <c r="BJ35" s="24">
        <v>600</v>
      </c>
      <c r="BK35" s="23">
        <v>183</v>
      </c>
      <c r="BL35" s="24">
        <v>0</v>
      </c>
      <c r="BM35" s="20">
        <v>19</v>
      </c>
      <c r="BN35" s="19">
        <v>8460</v>
      </c>
      <c r="BO35" s="23">
        <v>820</v>
      </c>
      <c r="BP35" s="24">
        <v>1815</v>
      </c>
      <c r="BQ35" s="23">
        <v>315</v>
      </c>
      <c r="BR35" s="24">
        <v>1724</v>
      </c>
      <c r="BS35" s="23">
        <v>315</v>
      </c>
      <c r="BT35" s="26">
        <v>91</v>
      </c>
      <c r="BU35" s="23">
        <v>74</v>
      </c>
      <c r="BV35" s="24">
        <v>5593</v>
      </c>
      <c r="BW35" s="23">
        <v>577</v>
      </c>
      <c r="BX35" s="24">
        <v>5403</v>
      </c>
      <c r="BY35" s="23">
        <v>558</v>
      </c>
      <c r="BZ35" s="24">
        <v>190</v>
      </c>
      <c r="CA35" s="23">
        <v>129</v>
      </c>
      <c r="CB35" s="24">
        <v>1052</v>
      </c>
      <c r="CC35" s="23">
        <v>232</v>
      </c>
      <c r="CD35" s="24">
        <v>1040</v>
      </c>
      <c r="CE35" s="23">
        <v>230</v>
      </c>
      <c r="CF35" s="24">
        <v>12</v>
      </c>
      <c r="CG35" s="20">
        <v>16</v>
      </c>
    </row>
    <row r="36" spans="1:85" x14ac:dyDescent="0.3">
      <c r="A36" t="s">
        <v>71</v>
      </c>
      <c r="B36">
        <v>20653</v>
      </c>
      <c r="C36" t="s">
        <v>72</v>
      </c>
      <c r="D36" s="19">
        <v>22628</v>
      </c>
      <c r="E36" s="20">
        <v>1102</v>
      </c>
      <c r="F36" s="19">
        <v>3985</v>
      </c>
      <c r="G36" s="23">
        <v>1140</v>
      </c>
      <c r="H36" s="24">
        <v>1377</v>
      </c>
      <c r="I36" s="23">
        <v>655</v>
      </c>
      <c r="J36" s="24">
        <v>1347</v>
      </c>
      <c r="K36" s="23">
        <v>646</v>
      </c>
      <c r="L36" s="24">
        <v>30</v>
      </c>
      <c r="M36" s="23">
        <v>65</v>
      </c>
      <c r="N36" s="24">
        <v>2325</v>
      </c>
      <c r="O36" s="23">
        <v>641</v>
      </c>
      <c r="P36" s="24">
        <v>2069</v>
      </c>
      <c r="Q36" s="23">
        <v>608</v>
      </c>
      <c r="R36" s="24">
        <v>256</v>
      </c>
      <c r="S36" s="23">
        <v>161</v>
      </c>
      <c r="T36" s="24">
        <v>283</v>
      </c>
      <c r="U36" s="23">
        <v>148</v>
      </c>
      <c r="V36" s="24">
        <v>283</v>
      </c>
      <c r="W36" s="23">
        <v>148</v>
      </c>
      <c r="X36" s="24">
        <v>0</v>
      </c>
      <c r="Y36" s="20">
        <v>44</v>
      </c>
      <c r="Z36" s="19">
        <v>2056</v>
      </c>
      <c r="AA36" s="23">
        <v>561</v>
      </c>
      <c r="AB36" s="24">
        <v>567</v>
      </c>
      <c r="AC36" s="23">
        <v>293</v>
      </c>
      <c r="AD36" s="24">
        <v>509</v>
      </c>
      <c r="AE36" s="23">
        <v>300</v>
      </c>
      <c r="AF36" s="24">
        <v>58</v>
      </c>
      <c r="AG36" s="23">
        <v>70</v>
      </c>
      <c r="AH36" s="24">
        <v>1358</v>
      </c>
      <c r="AI36" s="23">
        <v>442</v>
      </c>
      <c r="AJ36" s="24">
        <v>1031</v>
      </c>
      <c r="AK36" s="23">
        <v>290</v>
      </c>
      <c r="AL36" s="24">
        <v>327</v>
      </c>
      <c r="AM36" s="23">
        <v>230</v>
      </c>
      <c r="AN36" s="24">
        <v>131</v>
      </c>
      <c r="AO36" s="23">
        <v>61</v>
      </c>
      <c r="AP36" s="24">
        <v>121</v>
      </c>
      <c r="AQ36" s="23">
        <v>64</v>
      </c>
      <c r="AR36" s="24">
        <v>10</v>
      </c>
      <c r="AS36" s="20">
        <v>17</v>
      </c>
      <c r="AT36" s="19">
        <v>6470</v>
      </c>
      <c r="AU36" s="23">
        <v>1100</v>
      </c>
      <c r="AV36" s="24">
        <v>1877</v>
      </c>
      <c r="AW36" s="23">
        <v>599</v>
      </c>
      <c r="AX36" s="24">
        <v>1865</v>
      </c>
      <c r="AY36" s="23">
        <v>598</v>
      </c>
      <c r="AZ36" s="24">
        <v>12</v>
      </c>
      <c r="BA36" s="23">
        <v>21</v>
      </c>
      <c r="BB36" s="24">
        <v>3964</v>
      </c>
      <c r="BC36" s="23">
        <v>624</v>
      </c>
      <c r="BD36" s="24">
        <v>3297</v>
      </c>
      <c r="BE36" s="23">
        <v>580</v>
      </c>
      <c r="BF36" s="24">
        <v>667</v>
      </c>
      <c r="BG36" s="23">
        <v>287</v>
      </c>
      <c r="BH36" s="24">
        <v>629</v>
      </c>
      <c r="BI36" s="23">
        <v>164</v>
      </c>
      <c r="BJ36" s="24">
        <v>621</v>
      </c>
      <c r="BK36" s="23">
        <v>165</v>
      </c>
      <c r="BL36" s="24">
        <v>8</v>
      </c>
      <c r="BM36" s="20">
        <v>14</v>
      </c>
      <c r="BN36" s="19">
        <v>10117</v>
      </c>
      <c r="BO36" s="23">
        <v>1078</v>
      </c>
      <c r="BP36" s="24">
        <v>1987</v>
      </c>
      <c r="BQ36" s="23">
        <v>421</v>
      </c>
      <c r="BR36" s="24">
        <v>1918</v>
      </c>
      <c r="BS36" s="23">
        <v>406</v>
      </c>
      <c r="BT36" s="26">
        <v>69</v>
      </c>
      <c r="BU36" s="23">
        <v>68</v>
      </c>
      <c r="BV36" s="24">
        <v>7107</v>
      </c>
      <c r="BW36" s="23">
        <v>762</v>
      </c>
      <c r="BX36" s="24">
        <v>6929</v>
      </c>
      <c r="BY36" s="23">
        <v>759</v>
      </c>
      <c r="BZ36" s="24">
        <v>178</v>
      </c>
      <c r="CA36" s="23">
        <v>119</v>
      </c>
      <c r="CB36" s="24">
        <v>1023</v>
      </c>
      <c r="CC36" s="23">
        <v>182</v>
      </c>
      <c r="CD36" s="24">
        <v>1023</v>
      </c>
      <c r="CE36" s="23">
        <v>182</v>
      </c>
      <c r="CF36" s="24">
        <v>0</v>
      </c>
      <c r="CG36" s="20">
        <v>22</v>
      </c>
    </row>
    <row r="37" spans="1:85" x14ac:dyDescent="0.3">
      <c r="A37" t="s">
        <v>73</v>
      </c>
      <c r="B37">
        <v>20657</v>
      </c>
      <c r="C37" t="s">
        <v>74</v>
      </c>
      <c r="D37" s="19">
        <v>18439</v>
      </c>
      <c r="E37" s="20">
        <v>852</v>
      </c>
      <c r="F37" s="19">
        <v>2211</v>
      </c>
      <c r="G37" s="23">
        <v>999</v>
      </c>
      <c r="H37" s="24">
        <v>783</v>
      </c>
      <c r="I37" s="23">
        <v>521</v>
      </c>
      <c r="J37" s="24">
        <v>770</v>
      </c>
      <c r="K37" s="23">
        <v>517</v>
      </c>
      <c r="L37" s="24">
        <v>13</v>
      </c>
      <c r="M37" s="23">
        <v>40</v>
      </c>
      <c r="N37" s="24">
        <v>1179</v>
      </c>
      <c r="O37" s="23">
        <v>538</v>
      </c>
      <c r="P37" s="24">
        <v>878</v>
      </c>
      <c r="Q37" s="23">
        <v>444</v>
      </c>
      <c r="R37" s="24">
        <v>301</v>
      </c>
      <c r="S37" s="23">
        <v>223</v>
      </c>
      <c r="T37" s="24">
        <v>249</v>
      </c>
      <c r="U37" s="23">
        <v>177</v>
      </c>
      <c r="V37" s="24">
        <v>249</v>
      </c>
      <c r="W37" s="23">
        <v>177</v>
      </c>
      <c r="X37" s="24">
        <v>0</v>
      </c>
      <c r="Y37" s="20">
        <v>38</v>
      </c>
      <c r="Z37" s="19">
        <v>1353</v>
      </c>
      <c r="AA37" s="23">
        <v>579</v>
      </c>
      <c r="AB37" s="24">
        <v>561</v>
      </c>
      <c r="AC37" s="23">
        <v>367</v>
      </c>
      <c r="AD37" s="24">
        <v>436</v>
      </c>
      <c r="AE37" s="23">
        <v>334</v>
      </c>
      <c r="AF37" s="24">
        <v>125</v>
      </c>
      <c r="AG37" s="23">
        <v>158</v>
      </c>
      <c r="AH37" s="24">
        <v>757</v>
      </c>
      <c r="AI37" s="23">
        <v>294</v>
      </c>
      <c r="AJ37" s="24">
        <v>620</v>
      </c>
      <c r="AK37" s="23">
        <v>224</v>
      </c>
      <c r="AL37" s="24">
        <v>137</v>
      </c>
      <c r="AM37" s="23">
        <v>126</v>
      </c>
      <c r="AN37" s="24">
        <v>35</v>
      </c>
      <c r="AO37" s="23">
        <v>35</v>
      </c>
      <c r="AP37" s="24">
        <v>35</v>
      </c>
      <c r="AQ37" s="23">
        <v>35</v>
      </c>
      <c r="AR37" s="24">
        <v>0</v>
      </c>
      <c r="AS37" s="20">
        <v>19</v>
      </c>
      <c r="AT37" s="19">
        <v>5104</v>
      </c>
      <c r="AU37" s="23">
        <v>912</v>
      </c>
      <c r="AV37" s="24">
        <v>1672</v>
      </c>
      <c r="AW37" s="23">
        <v>417</v>
      </c>
      <c r="AX37" s="24">
        <v>1616</v>
      </c>
      <c r="AY37" s="23">
        <v>416</v>
      </c>
      <c r="AZ37" s="24">
        <v>56</v>
      </c>
      <c r="BA37" s="23">
        <v>71</v>
      </c>
      <c r="BB37" s="24">
        <v>3013</v>
      </c>
      <c r="BC37" s="23">
        <v>582</v>
      </c>
      <c r="BD37" s="24">
        <v>2541</v>
      </c>
      <c r="BE37" s="23">
        <v>524</v>
      </c>
      <c r="BF37" s="24">
        <v>472</v>
      </c>
      <c r="BG37" s="23">
        <v>323</v>
      </c>
      <c r="BH37" s="24">
        <v>419</v>
      </c>
      <c r="BI37" s="23">
        <v>146</v>
      </c>
      <c r="BJ37" s="24">
        <v>419</v>
      </c>
      <c r="BK37" s="23">
        <v>146</v>
      </c>
      <c r="BL37" s="24">
        <v>0</v>
      </c>
      <c r="BM37" s="20">
        <v>19</v>
      </c>
      <c r="BN37" s="19">
        <v>9771</v>
      </c>
      <c r="BO37" s="23">
        <v>1025</v>
      </c>
      <c r="BP37" s="24">
        <v>1850</v>
      </c>
      <c r="BQ37" s="23">
        <v>390</v>
      </c>
      <c r="BR37" s="24">
        <v>1842</v>
      </c>
      <c r="BS37" s="23">
        <v>386</v>
      </c>
      <c r="BT37" s="26">
        <v>8</v>
      </c>
      <c r="BU37" s="23">
        <v>16</v>
      </c>
      <c r="BV37" s="24">
        <v>6739</v>
      </c>
      <c r="BW37" s="23">
        <v>703</v>
      </c>
      <c r="BX37" s="24">
        <v>6504</v>
      </c>
      <c r="BY37" s="23">
        <v>682</v>
      </c>
      <c r="BZ37" s="24">
        <v>235</v>
      </c>
      <c r="CA37" s="23">
        <v>129</v>
      </c>
      <c r="CB37" s="24">
        <v>1182</v>
      </c>
      <c r="CC37" s="23">
        <v>228</v>
      </c>
      <c r="CD37" s="24">
        <v>1182</v>
      </c>
      <c r="CE37" s="23">
        <v>228</v>
      </c>
      <c r="CF37" s="24">
        <v>0</v>
      </c>
      <c r="CG37" s="20">
        <v>19</v>
      </c>
    </row>
    <row r="38" spans="1:85" x14ac:dyDescent="0.3">
      <c r="A38" t="s">
        <v>75</v>
      </c>
      <c r="B38">
        <v>20658</v>
      </c>
      <c r="C38" t="s">
        <v>76</v>
      </c>
      <c r="D38" s="19">
        <v>938</v>
      </c>
      <c r="E38" s="20">
        <v>254</v>
      </c>
      <c r="F38" s="19">
        <v>119</v>
      </c>
      <c r="G38" s="23">
        <v>99</v>
      </c>
      <c r="H38" s="24">
        <v>29</v>
      </c>
      <c r="I38" s="23">
        <v>55</v>
      </c>
      <c r="J38" s="24">
        <v>29</v>
      </c>
      <c r="K38" s="23">
        <v>55</v>
      </c>
      <c r="L38" s="24">
        <v>0</v>
      </c>
      <c r="M38" s="23">
        <v>24</v>
      </c>
      <c r="N38" s="24">
        <v>73</v>
      </c>
      <c r="O38" s="23">
        <v>63</v>
      </c>
      <c r="P38" s="24">
        <v>66</v>
      </c>
      <c r="Q38" s="23">
        <v>54</v>
      </c>
      <c r="R38" s="24">
        <v>7</v>
      </c>
      <c r="S38" s="23">
        <v>22</v>
      </c>
      <c r="T38" s="24">
        <v>17</v>
      </c>
      <c r="U38" s="23">
        <v>27</v>
      </c>
      <c r="V38" s="24">
        <v>17</v>
      </c>
      <c r="W38" s="23">
        <v>27</v>
      </c>
      <c r="X38" s="24">
        <v>0</v>
      </c>
      <c r="Y38" s="20">
        <v>24</v>
      </c>
      <c r="Z38" s="19">
        <v>15</v>
      </c>
      <c r="AA38" s="23">
        <v>22</v>
      </c>
      <c r="AB38" s="24">
        <v>0</v>
      </c>
      <c r="AC38" s="23">
        <v>12</v>
      </c>
      <c r="AD38" s="24">
        <v>0</v>
      </c>
      <c r="AE38" s="23">
        <v>12</v>
      </c>
      <c r="AF38" s="24">
        <v>0</v>
      </c>
      <c r="AG38" s="23">
        <v>12</v>
      </c>
      <c r="AH38" s="24">
        <v>0</v>
      </c>
      <c r="AI38" s="23">
        <v>12</v>
      </c>
      <c r="AJ38" s="24">
        <v>0</v>
      </c>
      <c r="AK38" s="23">
        <v>12</v>
      </c>
      <c r="AL38" s="24">
        <v>0</v>
      </c>
      <c r="AM38" s="23">
        <v>12</v>
      </c>
      <c r="AN38" s="24">
        <v>15</v>
      </c>
      <c r="AO38" s="23">
        <v>22</v>
      </c>
      <c r="AP38" s="24">
        <v>15</v>
      </c>
      <c r="AQ38" s="23">
        <v>22</v>
      </c>
      <c r="AR38" s="24">
        <v>0</v>
      </c>
      <c r="AS38" s="20">
        <v>12</v>
      </c>
      <c r="AT38" s="19">
        <v>533</v>
      </c>
      <c r="AU38" s="23">
        <v>261</v>
      </c>
      <c r="AV38" s="24">
        <v>208</v>
      </c>
      <c r="AW38" s="23">
        <v>132</v>
      </c>
      <c r="AX38" s="24">
        <v>200</v>
      </c>
      <c r="AY38" s="23">
        <v>126</v>
      </c>
      <c r="AZ38" s="24">
        <v>8</v>
      </c>
      <c r="BA38" s="23">
        <v>13</v>
      </c>
      <c r="BB38" s="24">
        <v>286</v>
      </c>
      <c r="BC38" s="23">
        <v>147</v>
      </c>
      <c r="BD38" s="24">
        <v>273</v>
      </c>
      <c r="BE38" s="23">
        <v>142</v>
      </c>
      <c r="BF38" s="24">
        <v>13</v>
      </c>
      <c r="BG38" s="23">
        <v>16</v>
      </c>
      <c r="BH38" s="24">
        <v>39</v>
      </c>
      <c r="BI38" s="23">
        <v>38</v>
      </c>
      <c r="BJ38" s="24">
        <v>39</v>
      </c>
      <c r="BK38" s="23">
        <v>38</v>
      </c>
      <c r="BL38" s="24">
        <v>0</v>
      </c>
      <c r="BM38" s="20">
        <v>12</v>
      </c>
      <c r="BN38" s="19">
        <v>271</v>
      </c>
      <c r="BO38" s="23">
        <v>88</v>
      </c>
      <c r="BP38" s="24">
        <v>29</v>
      </c>
      <c r="BQ38" s="23">
        <v>28</v>
      </c>
      <c r="BR38" s="24">
        <v>29</v>
      </c>
      <c r="BS38" s="23">
        <v>28</v>
      </c>
      <c r="BT38" s="26">
        <v>0</v>
      </c>
      <c r="BU38" s="23">
        <v>12</v>
      </c>
      <c r="BV38" s="24">
        <v>180</v>
      </c>
      <c r="BW38" s="23">
        <v>69</v>
      </c>
      <c r="BX38" s="24">
        <v>180</v>
      </c>
      <c r="BY38" s="23">
        <v>69</v>
      </c>
      <c r="BZ38" s="24">
        <v>0</v>
      </c>
      <c r="CA38" s="23">
        <v>12</v>
      </c>
      <c r="CB38" s="24">
        <v>62</v>
      </c>
      <c r="CC38" s="23">
        <v>38</v>
      </c>
      <c r="CD38" s="24">
        <v>62</v>
      </c>
      <c r="CE38" s="23">
        <v>38</v>
      </c>
      <c r="CF38" s="24">
        <v>0</v>
      </c>
      <c r="CG38" s="20">
        <v>12</v>
      </c>
    </row>
    <row r="39" spans="1:85" x14ac:dyDescent="0.3">
      <c r="A39" t="s">
        <v>77</v>
      </c>
      <c r="B39">
        <v>20659</v>
      </c>
      <c r="C39" t="s">
        <v>78</v>
      </c>
      <c r="D39" s="19">
        <v>23361</v>
      </c>
      <c r="E39" s="20">
        <v>1118</v>
      </c>
      <c r="F39" s="19">
        <v>2310</v>
      </c>
      <c r="G39" s="23">
        <v>771</v>
      </c>
      <c r="H39" s="24">
        <v>821</v>
      </c>
      <c r="I39" s="23">
        <v>421</v>
      </c>
      <c r="J39" s="24">
        <v>821</v>
      </c>
      <c r="K39" s="23">
        <v>421</v>
      </c>
      <c r="L39" s="24">
        <v>0</v>
      </c>
      <c r="M39" s="23">
        <v>44</v>
      </c>
      <c r="N39" s="24">
        <v>1116</v>
      </c>
      <c r="O39" s="23">
        <v>407</v>
      </c>
      <c r="P39" s="24">
        <v>953</v>
      </c>
      <c r="Q39" s="23">
        <v>352</v>
      </c>
      <c r="R39" s="24">
        <v>163</v>
      </c>
      <c r="S39" s="23">
        <v>156</v>
      </c>
      <c r="T39" s="24">
        <v>373</v>
      </c>
      <c r="U39" s="23">
        <v>229</v>
      </c>
      <c r="V39" s="24">
        <v>373</v>
      </c>
      <c r="W39" s="23">
        <v>229</v>
      </c>
      <c r="X39" s="24">
        <v>0</v>
      </c>
      <c r="Y39" s="20">
        <v>44</v>
      </c>
      <c r="Z39" s="19">
        <v>1796</v>
      </c>
      <c r="AA39" s="23">
        <v>608</v>
      </c>
      <c r="AB39" s="24">
        <v>690</v>
      </c>
      <c r="AC39" s="23">
        <v>306</v>
      </c>
      <c r="AD39" s="24">
        <v>592</v>
      </c>
      <c r="AE39" s="23">
        <v>278</v>
      </c>
      <c r="AF39" s="24">
        <v>98</v>
      </c>
      <c r="AG39" s="23">
        <v>125</v>
      </c>
      <c r="AH39" s="24">
        <v>872</v>
      </c>
      <c r="AI39" s="23">
        <v>366</v>
      </c>
      <c r="AJ39" s="24">
        <v>782</v>
      </c>
      <c r="AK39" s="23">
        <v>358</v>
      </c>
      <c r="AL39" s="24">
        <v>90</v>
      </c>
      <c r="AM39" s="23">
        <v>88</v>
      </c>
      <c r="AN39" s="24">
        <v>234</v>
      </c>
      <c r="AO39" s="23">
        <v>95</v>
      </c>
      <c r="AP39" s="24">
        <v>222</v>
      </c>
      <c r="AQ39" s="23">
        <v>88</v>
      </c>
      <c r="AR39" s="24">
        <v>12</v>
      </c>
      <c r="AS39" s="20">
        <v>18</v>
      </c>
      <c r="AT39" s="19">
        <v>5217</v>
      </c>
      <c r="AU39" s="23">
        <v>1026</v>
      </c>
      <c r="AV39" s="24">
        <v>1572</v>
      </c>
      <c r="AW39" s="23">
        <v>433</v>
      </c>
      <c r="AX39" s="24">
        <v>1314</v>
      </c>
      <c r="AY39" s="23">
        <v>387</v>
      </c>
      <c r="AZ39" s="24">
        <v>258</v>
      </c>
      <c r="BA39" s="23">
        <v>246</v>
      </c>
      <c r="BB39" s="24">
        <v>2807</v>
      </c>
      <c r="BC39" s="23">
        <v>567</v>
      </c>
      <c r="BD39" s="24">
        <v>2424</v>
      </c>
      <c r="BE39" s="23">
        <v>513</v>
      </c>
      <c r="BF39" s="24">
        <v>383</v>
      </c>
      <c r="BG39" s="23">
        <v>227</v>
      </c>
      <c r="BH39" s="24">
        <v>838</v>
      </c>
      <c r="BI39" s="23">
        <v>212</v>
      </c>
      <c r="BJ39" s="24">
        <v>825</v>
      </c>
      <c r="BK39" s="23">
        <v>206</v>
      </c>
      <c r="BL39" s="24">
        <v>13</v>
      </c>
      <c r="BM39" s="20">
        <v>22</v>
      </c>
      <c r="BN39" s="19">
        <v>14038</v>
      </c>
      <c r="BO39" s="23">
        <v>1124</v>
      </c>
      <c r="BP39" s="24">
        <v>3145</v>
      </c>
      <c r="BQ39" s="23">
        <v>466</v>
      </c>
      <c r="BR39" s="24">
        <v>3008</v>
      </c>
      <c r="BS39" s="23">
        <v>419</v>
      </c>
      <c r="BT39" s="26">
        <v>137</v>
      </c>
      <c r="BU39" s="23">
        <v>168</v>
      </c>
      <c r="BV39" s="24">
        <v>9435</v>
      </c>
      <c r="BW39" s="23">
        <v>784</v>
      </c>
      <c r="BX39" s="24">
        <v>9090</v>
      </c>
      <c r="BY39" s="23">
        <v>775</v>
      </c>
      <c r="BZ39" s="24">
        <v>345</v>
      </c>
      <c r="CA39" s="23">
        <v>190</v>
      </c>
      <c r="CB39" s="24">
        <v>1458</v>
      </c>
      <c r="CC39" s="23">
        <v>255</v>
      </c>
      <c r="CD39" s="24">
        <v>1432</v>
      </c>
      <c r="CE39" s="23">
        <v>250</v>
      </c>
      <c r="CF39" s="24">
        <v>26</v>
      </c>
      <c r="CG39" s="20">
        <v>42</v>
      </c>
    </row>
    <row r="40" spans="1:85" x14ac:dyDescent="0.3">
      <c r="A40" t="s">
        <v>79</v>
      </c>
      <c r="B40">
        <v>20660</v>
      </c>
      <c r="C40" t="s">
        <v>80</v>
      </c>
      <c r="D40" s="19">
        <v>28</v>
      </c>
      <c r="E40" s="20">
        <v>46</v>
      </c>
      <c r="F40" s="19">
        <v>28</v>
      </c>
      <c r="G40" s="23">
        <v>58</v>
      </c>
      <c r="H40" s="24">
        <v>0</v>
      </c>
      <c r="I40" s="23">
        <v>24</v>
      </c>
      <c r="J40" s="24">
        <v>0</v>
      </c>
      <c r="K40" s="23">
        <v>24</v>
      </c>
      <c r="L40" s="24">
        <v>0</v>
      </c>
      <c r="M40" s="23">
        <v>24</v>
      </c>
      <c r="N40" s="24">
        <v>0</v>
      </c>
      <c r="O40" s="23">
        <v>24</v>
      </c>
      <c r="P40" s="24">
        <v>0</v>
      </c>
      <c r="Q40" s="23">
        <v>24</v>
      </c>
      <c r="R40" s="24">
        <v>0</v>
      </c>
      <c r="S40" s="23">
        <v>24</v>
      </c>
      <c r="T40" s="24">
        <v>28</v>
      </c>
      <c r="U40" s="23">
        <v>58</v>
      </c>
      <c r="V40" s="24">
        <v>28</v>
      </c>
      <c r="W40" s="23">
        <v>58</v>
      </c>
      <c r="X40" s="24">
        <v>0</v>
      </c>
      <c r="Y40" s="20">
        <v>24</v>
      </c>
      <c r="Z40" s="19">
        <v>0</v>
      </c>
      <c r="AA40" s="23">
        <v>12</v>
      </c>
      <c r="AB40" s="24">
        <v>0</v>
      </c>
      <c r="AC40" s="23">
        <v>12</v>
      </c>
      <c r="AD40" s="24">
        <v>0</v>
      </c>
      <c r="AE40" s="23">
        <v>12</v>
      </c>
      <c r="AF40" s="24">
        <v>0</v>
      </c>
      <c r="AG40" s="23">
        <v>12</v>
      </c>
      <c r="AH40" s="24">
        <v>0</v>
      </c>
      <c r="AI40" s="23">
        <v>12</v>
      </c>
      <c r="AJ40" s="24">
        <v>0</v>
      </c>
      <c r="AK40" s="23">
        <v>12</v>
      </c>
      <c r="AL40" s="24">
        <v>0</v>
      </c>
      <c r="AM40" s="23">
        <v>12</v>
      </c>
      <c r="AN40" s="24">
        <v>0</v>
      </c>
      <c r="AO40" s="23">
        <v>12</v>
      </c>
      <c r="AP40" s="24">
        <v>0</v>
      </c>
      <c r="AQ40" s="23">
        <v>12</v>
      </c>
      <c r="AR40" s="24">
        <v>0</v>
      </c>
      <c r="AS40" s="20">
        <v>12</v>
      </c>
      <c r="AT40" s="19">
        <v>0</v>
      </c>
      <c r="AU40" s="23">
        <v>12</v>
      </c>
      <c r="AV40" s="24">
        <v>0</v>
      </c>
      <c r="AW40" s="23">
        <v>12</v>
      </c>
      <c r="AX40" s="24">
        <v>0</v>
      </c>
      <c r="AY40" s="23">
        <v>12</v>
      </c>
      <c r="AZ40" s="24">
        <v>0</v>
      </c>
      <c r="BA40" s="23">
        <v>12</v>
      </c>
      <c r="BB40" s="24">
        <v>0</v>
      </c>
      <c r="BC40" s="23">
        <v>12</v>
      </c>
      <c r="BD40" s="24">
        <v>0</v>
      </c>
      <c r="BE40" s="23">
        <v>12</v>
      </c>
      <c r="BF40" s="24">
        <v>0</v>
      </c>
      <c r="BG40" s="23">
        <v>12</v>
      </c>
      <c r="BH40" s="24">
        <v>0</v>
      </c>
      <c r="BI40" s="23">
        <v>12</v>
      </c>
      <c r="BJ40" s="24">
        <v>0</v>
      </c>
      <c r="BK40" s="23">
        <v>12</v>
      </c>
      <c r="BL40" s="24">
        <v>0</v>
      </c>
      <c r="BM40" s="20">
        <v>12</v>
      </c>
      <c r="BN40" s="19">
        <v>0</v>
      </c>
      <c r="BO40" s="23">
        <v>12</v>
      </c>
      <c r="BP40" s="24">
        <v>0</v>
      </c>
      <c r="BQ40" s="23">
        <v>12</v>
      </c>
      <c r="BR40" s="24">
        <v>0</v>
      </c>
      <c r="BS40" s="23">
        <v>12</v>
      </c>
      <c r="BT40" s="26">
        <v>0</v>
      </c>
      <c r="BU40" s="23">
        <v>12</v>
      </c>
      <c r="BV40" s="24">
        <v>0</v>
      </c>
      <c r="BW40" s="23">
        <v>12</v>
      </c>
      <c r="BX40" s="24">
        <v>0</v>
      </c>
      <c r="BY40" s="23">
        <v>12</v>
      </c>
      <c r="BZ40" s="24">
        <v>0</v>
      </c>
      <c r="CA40" s="23">
        <v>12</v>
      </c>
      <c r="CB40" s="24">
        <v>0</v>
      </c>
      <c r="CC40" s="23">
        <v>12</v>
      </c>
      <c r="CD40" s="24">
        <v>0</v>
      </c>
      <c r="CE40" s="23">
        <v>12</v>
      </c>
      <c r="CF40" s="24">
        <v>0</v>
      </c>
      <c r="CG40" s="20">
        <v>12</v>
      </c>
    </row>
    <row r="41" spans="1:85" x14ac:dyDescent="0.3">
      <c r="A41" t="s">
        <v>81</v>
      </c>
      <c r="B41">
        <v>20662</v>
      </c>
      <c r="C41" t="s">
        <v>82</v>
      </c>
      <c r="D41" s="19">
        <v>2844</v>
      </c>
      <c r="E41" s="20">
        <v>352</v>
      </c>
      <c r="F41" s="19">
        <v>344</v>
      </c>
      <c r="G41" s="23">
        <v>167</v>
      </c>
      <c r="H41" s="24">
        <v>46</v>
      </c>
      <c r="I41" s="23">
        <v>59</v>
      </c>
      <c r="J41" s="24">
        <v>46</v>
      </c>
      <c r="K41" s="23">
        <v>59</v>
      </c>
      <c r="L41" s="24">
        <v>0</v>
      </c>
      <c r="M41" s="23">
        <v>24</v>
      </c>
      <c r="N41" s="24">
        <v>275</v>
      </c>
      <c r="O41" s="23">
        <v>133</v>
      </c>
      <c r="P41" s="24">
        <v>225</v>
      </c>
      <c r="Q41" s="23">
        <v>116</v>
      </c>
      <c r="R41" s="24">
        <v>50</v>
      </c>
      <c r="S41" s="23">
        <v>65</v>
      </c>
      <c r="T41" s="24">
        <v>23</v>
      </c>
      <c r="U41" s="23">
        <v>27</v>
      </c>
      <c r="V41" s="24">
        <v>23</v>
      </c>
      <c r="W41" s="23">
        <v>27</v>
      </c>
      <c r="X41" s="24">
        <v>0</v>
      </c>
      <c r="Y41" s="20">
        <v>24</v>
      </c>
      <c r="Z41" s="19">
        <v>175</v>
      </c>
      <c r="AA41" s="23">
        <v>126</v>
      </c>
      <c r="AB41" s="24">
        <v>12</v>
      </c>
      <c r="AC41" s="23">
        <v>19</v>
      </c>
      <c r="AD41" s="24">
        <v>12</v>
      </c>
      <c r="AE41" s="23">
        <v>19</v>
      </c>
      <c r="AF41" s="24">
        <v>0</v>
      </c>
      <c r="AG41" s="23">
        <v>12</v>
      </c>
      <c r="AH41" s="24">
        <v>73</v>
      </c>
      <c r="AI41" s="23">
        <v>57</v>
      </c>
      <c r="AJ41" s="24">
        <v>62</v>
      </c>
      <c r="AK41" s="23">
        <v>53</v>
      </c>
      <c r="AL41" s="24">
        <v>11</v>
      </c>
      <c r="AM41" s="23">
        <v>18</v>
      </c>
      <c r="AN41" s="24">
        <v>90</v>
      </c>
      <c r="AO41" s="23">
        <v>78</v>
      </c>
      <c r="AP41" s="24">
        <v>90</v>
      </c>
      <c r="AQ41" s="23">
        <v>78</v>
      </c>
      <c r="AR41" s="24">
        <v>0</v>
      </c>
      <c r="AS41" s="20">
        <v>12</v>
      </c>
      <c r="AT41" s="19">
        <v>1187</v>
      </c>
      <c r="AU41" s="23">
        <v>448</v>
      </c>
      <c r="AV41" s="24">
        <v>402</v>
      </c>
      <c r="AW41" s="23">
        <v>170</v>
      </c>
      <c r="AX41" s="24">
        <v>402</v>
      </c>
      <c r="AY41" s="23">
        <v>170</v>
      </c>
      <c r="AZ41" s="24">
        <v>0</v>
      </c>
      <c r="BA41" s="23">
        <v>12</v>
      </c>
      <c r="BB41" s="24">
        <v>679</v>
      </c>
      <c r="BC41" s="23">
        <v>290</v>
      </c>
      <c r="BD41" s="24">
        <v>679</v>
      </c>
      <c r="BE41" s="23">
        <v>290</v>
      </c>
      <c r="BF41" s="24">
        <v>0</v>
      </c>
      <c r="BG41" s="23">
        <v>12</v>
      </c>
      <c r="BH41" s="24">
        <v>106</v>
      </c>
      <c r="BI41" s="23">
        <v>59</v>
      </c>
      <c r="BJ41" s="24">
        <v>106</v>
      </c>
      <c r="BK41" s="23">
        <v>59</v>
      </c>
      <c r="BL41" s="24">
        <v>0</v>
      </c>
      <c r="BM41" s="20">
        <v>12</v>
      </c>
      <c r="BN41" s="19">
        <v>1138</v>
      </c>
      <c r="BO41" s="23">
        <v>291</v>
      </c>
      <c r="BP41" s="24">
        <v>191</v>
      </c>
      <c r="BQ41" s="23">
        <v>129</v>
      </c>
      <c r="BR41" s="24">
        <v>191</v>
      </c>
      <c r="BS41" s="23">
        <v>129</v>
      </c>
      <c r="BT41" s="26">
        <v>0</v>
      </c>
      <c r="BU41" s="23">
        <v>12</v>
      </c>
      <c r="BV41" s="24">
        <v>794</v>
      </c>
      <c r="BW41" s="23">
        <v>200</v>
      </c>
      <c r="BX41" s="24">
        <v>785</v>
      </c>
      <c r="BY41" s="23">
        <v>196</v>
      </c>
      <c r="BZ41" s="24">
        <v>9</v>
      </c>
      <c r="CA41" s="23">
        <v>19</v>
      </c>
      <c r="CB41" s="24">
        <v>153</v>
      </c>
      <c r="CC41" s="23">
        <v>71</v>
      </c>
      <c r="CD41" s="24">
        <v>153</v>
      </c>
      <c r="CE41" s="23">
        <v>71</v>
      </c>
      <c r="CF41" s="24">
        <v>0</v>
      </c>
      <c r="CG41" s="20">
        <v>12</v>
      </c>
    </row>
    <row r="42" spans="1:85" x14ac:dyDescent="0.3">
      <c r="A42" t="s">
        <v>83</v>
      </c>
      <c r="B42">
        <v>20664</v>
      </c>
      <c r="C42" t="s">
        <v>84</v>
      </c>
      <c r="D42" s="19">
        <v>3451</v>
      </c>
      <c r="E42" s="20">
        <v>457</v>
      </c>
      <c r="F42" s="19">
        <v>629</v>
      </c>
      <c r="G42" s="23">
        <v>398</v>
      </c>
      <c r="H42" s="24">
        <v>234</v>
      </c>
      <c r="I42" s="23">
        <v>235</v>
      </c>
      <c r="J42" s="24">
        <v>234</v>
      </c>
      <c r="K42" s="23">
        <v>235</v>
      </c>
      <c r="L42" s="24">
        <v>0</v>
      </c>
      <c r="M42" s="23">
        <v>24</v>
      </c>
      <c r="N42" s="24">
        <v>243</v>
      </c>
      <c r="O42" s="23">
        <v>165</v>
      </c>
      <c r="P42" s="24">
        <v>187</v>
      </c>
      <c r="Q42" s="23">
        <v>136</v>
      </c>
      <c r="R42" s="24">
        <v>56</v>
      </c>
      <c r="S42" s="23">
        <v>72</v>
      </c>
      <c r="T42" s="24">
        <v>152</v>
      </c>
      <c r="U42" s="23">
        <v>111</v>
      </c>
      <c r="V42" s="24">
        <v>152</v>
      </c>
      <c r="W42" s="23">
        <v>111</v>
      </c>
      <c r="X42" s="24">
        <v>0</v>
      </c>
      <c r="Y42" s="20">
        <v>24</v>
      </c>
      <c r="Z42" s="19">
        <v>326</v>
      </c>
      <c r="AA42" s="23">
        <v>202</v>
      </c>
      <c r="AB42" s="24">
        <v>132</v>
      </c>
      <c r="AC42" s="23">
        <v>126</v>
      </c>
      <c r="AD42" s="24">
        <v>132</v>
      </c>
      <c r="AE42" s="23">
        <v>126</v>
      </c>
      <c r="AF42" s="24">
        <v>0</v>
      </c>
      <c r="AG42" s="23">
        <v>12</v>
      </c>
      <c r="AH42" s="24">
        <v>116</v>
      </c>
      <c r="AI42" s="23">
        <v>74</v>
      </c>
      <c r="AJ42" s="24">
        <v>116</v>
      </c>
      <c r="AK42" s="23">
        <v>74</v>
      </c>
      <c r="AL42" s="24">
        <v>0</v>
      </c>
      <c r="AM42" s="23">
        <v>12</v>
      </c>
      <c r="AN42" s="24">
        <v>78</v>
      </c>
      <c r="AO42" s="23">
        <v>51</v>
      </c>
      <c r="AP42" s="24">
        <v>78</v>
      </c>
      <c r="AQ42" s="23">
        <v>51</v>
      </c>
      <c r="AR42" s="24">
        <v>0</v>
      </c>
      <c r="AS42" s="20">
        <v>12</v>
      </c>
      <c r="AT42" s="19">
        <v>870</v>
      </c>
      <c r="AU42" s="23">
        <v>349</v>
      </c>
      <c r="AV42" s="24">
        <v>274</v>
      </c>
      <c r="AW42" s="23">
        <v>163</v>
      </c>
      <c r="AX42" s="24">
        <v>274</v>
      </c>
      <c r="AY42" s="23">
        <v>163</v>
      </c>
      <c r="AZ42" s="24">
        <v>0</v>
      </c>
      <c r="BA42" s="23">
        <v>12</v>
      </c>
      <c r="BB42" s="24">
        <v>500</v>
      </c>
      <c r="BC42" s="23">
        <v>202</v>
      </c>
      <c r="BD42" s="24">
        <v>405</v>
      </c>
      <c r="BE42" s="23">
        <v>170</v>
      </c>
      <c r="BF42" s="24">
        <v>95</v>
      </c>
      <c r="BG42" s="23">
        <v>96</v>
      </c>
      <c r="BH42" s="24">
        <v>96</v>
      </c>
      <c r="BI42" s="23">
        <v>57</v>
      </c>
      <c r="BJ42" s="24">
        <v>96</v>
      </c>
      <c r="BK42" s="23">
        <v>57</v>
      </c>
      <c r="BL42" s="24">
        <v>0</v>
      </c>
      <c r="BM42" s="20">
        <v>12</v>
      </c>
      <c r="BN42" s="19">
        <v>1626</v>
      </c>
      <c r="BO42" s="23">
        <v>372</v>
      </c>
      <c r="BP42" s="24">
        <v>297</v>
      </c>
      <c r="BQ42" s="23">
        <v>128</v>
      </c>
      <c r="BR42" s="24">
        <v>297</v>
      </c>
      <c r="BS42" s="23">
        <v>128</v>
      </c>
      <c r="BT42" s="26">
        <v>0</v>
      </c>
      <c r="BU42" s="23">
        <v>12</v>
      </c>
      <c r="BV42" s="24">
        <v>1091</v>
      </c>
      <c r="BW42" s="23">
        <v>257</v>
      </c>
      <c r="BX42" s="24">
        <v>1062</v>
      </c>
      <c r="BY42" s="23">
        <v>258</v>
      </c>
      <c r="BZ42" s="24">
        <v>29</v>
      </c>
      <c r="CA42" s="23">
        <v>27</v>
      </c>
      <c r="CB42" s="24">
        <v>238</v>
      </c>
      <c r="CC42" s="23">
        <v>92</v>
      </c>
      <c r="CD42" s="24">
        <v>238</v>
      </c>
      <c r="CE42" s="23">
        <v>92</v>
      </c>
      <c r="CF42" s="24">
        <v>0</v>
      </c>
      <c r="CG42" s="20">
        <v>12</v>
      </c>
    </row>
    <row r="43" spans="1:85" x14ac:dyDescent="0.3">
      <c r="A43" t="s">
        <v>85</v>
      </c>
      <c r="B43">
        <v>20667</v>
      </c>
      <c r="C43" t="s">
        <v>86</v>
      </c>
      <c r="D43" s="19">
        <v>712</v>
      </c>
      <c r="E43" s="20">
        <v>343</v>
      </c>
      <c r="F43" s="19">
        <v>15</v>
      </c>
      <c r="G43" s="23">
        <v>37</v>
      </c>
      <c r="H43" s="24">
        <v>0</v>
      </c>
      <c r="I43" s="23">
        <v>24</v>
      </c>
      <c r="J43" s="24">
        <v>0</v>
      </c>
      <c r="K43" s="23">
        <v>24</v>
      </c>
      <c r="L43" s="24">
        <v>0</v>
      </c>
      <c r="M43" s="23">
        <v>24</v>
      </c>
      <c r="N43" s="24">
        <v>15</v>
      </c>
      <c r="O43" s="23">
        <v>37</v>
      </c>
      <c r="P43" s="24">
        <v>15</v>
      </c>
      <c r="Q43" s="23">
        <v>37</v>
      </c>
      <c r="R43" s="24">
        <v>0</v>
      </c>
      <c r="S43" s="23">
        <v>24</v>
      </c>
      <c r="T43" s="24">
        <v>0</v>
      </c>
      <c r="U43" s="23">
        <v>24</v>
      </c>
      <c r="V43" s="24">
        <v>0</v>
      </c>
      <c r="W43" s="23">
        <v>24</v>
      </c>
      <c r="X43" s="24">
        <v>0</v>
      </c>
      <c r="Y43" s="20">
        <v>24</v>
      </c>
      <c r="Z43" s="19">
        <v>188</v>
      </c>
      <c r="AA43" s="23">
        <v>260</v>
      </c>
      <c r="AB43" s="24">
        <v>0</v>
      </c>
      <c r="AC43" s="23">
        <v>12</v>
      </c>
      <c r="AD43" s="24">
        <v>0</v>
      </c>
      <c r="AE43" s="23">
        <v>12</v>
      </c>
      <c r="AF43" s="24">
        <v>0</v>
      </c>
      <c r="AG43" s="23">
        <v>12</v>
      </c>
      <c r="AH43" s="24">
        <v>112</v>
      </c>
      <c r="AI43" s="23">
        <v>155</v>
      </c>
      <c r="AJ43" s="24">
        <v>112</v>
      </c>
      <c r="AK43" s="23">
        <v>155</v>
      </c>
      <c r="AL43" s="24">
        <v>0</v>
      </c>
      <c r="AM43" s="23">
        <v>12</v>
      </c>
      <c r="AN43" s="24">
        <v>76</v>
      </c>
      <c r="AO43" s="23">
        <v>109</v>
      </c>
      <c r="AP43" s="24">
        <v>76</v>
      </c>
      <c r="AQ43" s="23">
        <v>109</v>
      </c>
      <c r="AR43" s="24">
        <v>0</v>
      </c>
      <c r="AS43" s="20">
        <v>12</v>
      </c>
      <c r="AT43" s="19">
        <v>286</v>
      </c>
      <c r="AU43" s="23">
        <v>222</v>
      </c>
      <c r="AV43" s="24">
        <v>77</v>
      </c>
      <c r="AW43" s="23">
        <v>88</v>
      </c>
      <c r="AX43" s="24">
        <v>77</v>
      </c>
      <c r="AY43" s="23">
        <v>88</v>
      </c>
      <c r="AZ43" s="24">
        <v>0</v>
      </c>
      <c r="BA43" s="23">
        <v>12</v>
      </c>
      <c r="BB43" s="24">
        <v>191</v>
      </c>
      <c r="BC43" s="23">
        <v>183</v>
      </c>
      <c r="BD43" s="24">
        <v>171</v>
      </c>
      <c r="BE43" s="23">
        <v>184</v>
      </c>
      <c r="BF43" s="24">
        <v>20</v>
      </c>
      <c r="BG43" s="23">
        <v>33</v>
      </c>
      <c r="BH43" s="24">
        <v>18</v>
      </c>
      <c r="BI43" s="23">
        <v>28</v>
      </c>
      <c r="BJ43" s="24">
        <v>18</v>
      </c>
      <c r="BK43" s="23">
        <v>28</v>
      </c>
      <c r="BL43" s="24">
        <v>0</v>
      </c>
      <c r="BM43" s="20">
        <v>12</v>
      </c>
      <c r="BN43" s="19">
        <v>223</v>
      </c>
      <c r="BO43" s="23">
        <v>148</v>
      </c>
      <c r="BP43" s="24">
        <v>36</v>
      </c>
      <c r="BQ43" s="23">
        <v>45</v>
      </c>
      <c r="BR43" s="24">
        <v>36</v>
      </c>
      <c r="BS43" s="23">
        <v>45</v>
      </c>
      <c r="BT43" s="26">
        <v>0</v>
      </c>
      <c r="BU43" s="23">
        <v>12</v>
      </c>
      <c r="BV43" s="24">
        <v>168</v>
      </c>
      <c r="BW43" s="23">
        <v>101</v>
      </c>
      <c r="BX43" s="24">
        <v>168</v>
      </c>
      <c r="BY43" s="23">
        <v>101</v>
      </c>
      <c r="BZ43" s="24">
        <v>0</v>
      </c>
      <c r="CA43" s="23">
        <v>12</v>
      </c>
      <c r="CB43" s="24">
        <v>19</v>
      </c>
      <c r="CC43" s="23">
        <v>31</v>
      </c>
      <c r="CD43" s="24">
        <v>19</v>
      </c>
      <c r="CE43" s="23">
        <v>31</v>
      </c>
      <c r="CF43" s="24">
        <v>0</v>
      </c>
      <c r="CG43" s="20">
        <v>12</v>
      </c>
    </row>
    <row r="44" spans="1:85" x14ac:dyDescent="0.3">
      <c r="A44" t="s">
        <v>87</v>
      </c>
      <c r="B44">
        <v>20670</v>
      </c>
      <c r="C44" t="s">
        <v>88</v>
      </c>
      <c r="D44" s="19">
        <v>1062</v>
      </c>
      <c r="E44" s="20">
        <v>137</v>
      </c>
      <c r="F44" s="19">
        <v>182</v>
      </c>
      <c r="G44" s="23">
        <v>138</v>
      </c>
      <c r="H44" s="24">
        <v>118</v>
      </c>
      <c r="I44" s="23">
        <v>89</v>
      </c>
      <c r="J44" s="24">
        <v>118</v>
      </c>
      <c r="K44" s="23">
        <v>89</v>
      </c>
      <c r="L44" s="24">
        <v>0</v>
      </c>
      <c r="M44" s="23">
        <v>24</v>
      </c>
      <c r="N44" s="24">
        <v>64</v>
      </c>
      <c r="O44" s="23">
        <v>55</v>
      </c>
      <c r="P44" s="24">
        <v>64</v>
      </c>
      <c r="Q44" s="23">
        <v>55</v>
      </c>
      <c r="R44" s="24">
        <v>0</v>
      </c>
      <c r="S44" s="23">
        <v>24</v>
      </c>
      <c r="T44" s="24">
        <v>0</v>
      </c>
      <c r="U44" s="23">
        <v>24</v>
      </c>
      <c r="V44" s="24">
        <v>0</v>
      </c>
      <c r="W44" s="23">
        <v>24</v>
      </c>
      <c r="X44" s="24">
        <v>0</v>
      </c>
      <c r="Y44" s="20">
        <v>24</v>
      </c>
      <c r="Z44" s="19">
        <v>204</v>
      </c>
      <c r="AA44" s="23">
        <v>75</v>
      </c>
      <c r="AB44" s="24">
        <v>129</v>
      </c>
      <c r="AC44" s="23">
        <v>49</v>
      </c>
      <c r="AD44" s="24">
        <v>129</v>
      </c>
      <c r="AE44" s="23">
        <v>49</v>
      </c>
      <c r="AF44" s="24">
        <v>0</v>
      </c>
      <c r="AG44" s="23">
        <v>12</v>
      </c>
      <c r="AH44" s="24">
        <v>75</v>
      </c>
      <c r="AI44" s="23">
        <v>32</v>
      </c>
      <c r="AJ44" s="24">
        <v>75</v>
      </c>
      <c r="AK44" s="23">
        <v>32</v>
      </c>
      <c r="AL44" s="24">
        <v>0</v>
      </c>
      <c r="AM44" s="23">
        <v>12</v>
      </c>
      <c r="AN44" s="24">
        <v>0</v>
      </c>
      <c r="AO44" s="23">
        <v>12</v>
      </c>
      <c r="AP44" s="24">
        <v>0</v>
      </c>
      <c r="AQ44" s="23">
        <v>12</v>
      </c>
      <c r="AR44" s="24">
        <v>0</v>
      </c>
      <c r="AS44" s="20">
        <v>12</v>
      </c>
      <c r="AT44" s="19">
        <v>470</v>
      </c>
      <c r="AU44" s="23">
        <v>124</v>
      </c>
      <c r="AV44" s="24">
        <v>251</v>
      </c>
      <c r="AW44" s="23">
        <v>73</v>
      </c>
      <c r="AX44" s="24">
        <v>251</v>
      </c>
      <c r="AY44" s="23">
        <v>73</v>
      </c>
      <c r="AZ44" s="24">
        <v>0</v>
      </c>
      <c r="BA44" s="23">
        <v>12</v>
      </c>
      <c r="BB44" s="24">
        <v>219</v>
      </c>
      <c r="BC44" s="23">
        <v>62</v>
      </c>
      <c r="BD44" s="24">
        <v>219</v>
      </c>
      <c r="BE44" s="23">
        <v>62</v>
      </c>
      <c r="BF44" s="24">
        <v>0</v>
      </c>
      <c r="BG44" s="23">
        <v>12</v>
      </c>
      <c r="BH44" s="24">
        <v>0</v>
      </c>
      <c r="BI44" s="23">
        <v>12</v>
      </c>
      <c r="BJ44" s="24">
        <v>0</v>
      </c>
      <c r="BK44" s="23">
        <v>12</v>
      </c>
      <c r="BL44" s="24">
        <v>0</v>
      </c>
      <c r="BM44" s="20">
        <v>12</v>
      </c>
      <c r="BN44" s="19">
        <v>206</v>
      </c>
      <c r="BO44" s="23">
        <v>78</v>
      </c>
      <c r="BP44" s="24">
        <v>45</v>
      </c>
      <c r="BQ44" s="23">
        <v>30</v>
      </c>
      <c r="BR44" s="24">
        <v>45</v>
      </c>
      <c r="BS44" s="23">
        <v>30</v>
      </c>
      <c r="BT44" s="26">
        <v>0</v>
      </c>
      <c r="BU44" s="23">
        <v>12</v>
      </c>
      <c r="BV44" s="24">
        <v>159</v>
      </c>
      <c r="BW44" s="23">
        <v>61</v>
      </c>
      <c r="BX44" s="24">
        <v>159</v>
      </c>
      <c r="BY44" s="23">
        <v>61</v>
      </c>
      <c r="BZ44" s="24">
        <v>0</v>
      </c>
      <c r="CA44" s="23">
        <v>12</v>
      </c>
      <c r="CB44" s="24">
        <v>2</v>
      </c>
      <c r="CC44" s="23">
        <v>2</v>
      </c>
      <c r="CD44" s="24">
        <v>2</v>
      </c>
      <c r="CE44" s="23">
        <v>2</v>
      </c>
      <c r="CF44" s="24">
        <v>0</v>
      </c>
      <c r="CG44" s="20">
        <v>12</v>
      </c>
    </row>
    <row r="45" spans="1:85" x14ac:dyDescent="0.3">
      <c r="A45" t="s">
        <v>89</v>
      </c>
      <c r="B45">
        <v>20674</v>
      </c>
      <c r="C45" t="s">
        <v>90</v>
      </c>
      <c r="D45" s="19">
        <v>864</v>
      </c>
      <c r="E45" s="20">
        <v>528</v>
      </c>
      <c r="F45" s="19">
        <v>486</v>
      </c>
      <c r="G45" s="23">
        <v>546</v>
      </c>
      <c r="H45" s="24">
        <v>120</v>
      </c>
      <c r="I45" s="23">
        <v>157</v>
      </c>
      <c r="J45" s="24">
        <v>120</v>
      </c>
      <c r="K45" s="23">
        <v>157</v>
      </c>
      <c r="L45" s="24">
        <v>0</v>
      </c>
      <c r="M45" s="23">
        <v>24</v>
      </c>
      <c r="N45" s="24">
        <v>312</v>
      </c>
      <c r="O45" s="23">
        <v>340</v>
      </c>
      <c r="P45" s="24">
        <v>312</v>
      </c>
      <c r="Q45" s="23">
        <v>340</v>
      </c>
      <c r="R45" s="24">
        <v>0</v>
      </c>
      <c r="S45" s="23">
        <v>24</v>
      </c>
      <c r="T45" s="24">
        <v>54</v>
      </c>
      <c r="U45" s="23">
        <v>89</v>
      </c>
      <c r="V45" s="24">
        <v>54</v>
      </c>
      <c r="W45" s="23">
        <v>89</v>
      </c>
      <c r="X45" s="24">
        <v>0</v>
      </c>
      <c r="Y45" s="20">
        <v>24</v>
      </c>
      <c r="Z45" s="19">
        <v>32</v>
      </c>
      <c r="AA45" s="23">
        <v>49</v>
      </c>
      <c r="AB45" s="24">
        <v>22</v>
      </c>
      <c r="AC45" s="23">
        <v>34</v>
      </c>
      <c r="AD45" s="24">
        <v>22</v>
      </c>
      <c r="AE45" s="23">
        <v>34</v>
      </c>
      <c r="AF45" s="24">
        <v>0</v>
      </c>
      <c r="AG45" s="23">
        <v>12</v>
      </c>
      <c r="AH45" s="24">
        <v>10</v>
      </c>
      <c r="AI45" s="23">
        <v>16</v>
      </c>
      <c r="AJ45" s="24">
        <v>10</v>
      </c>
      <c r="AK45" s="23">
        <v>16</v>
      </c>
      <c r="AL45" s="24">
        <v>0</v>
      </c>
      <c r="AM45" s="23">
        <v>12</v>
      </c>
      <c r="AN45" s="24">
        <v>0</v>
      </c>
      <c r="AO45" s="23">
        <v>12</v>
      </c>
      <c r="AP45" s="24">
        <v>0</v>
      </c>
      <c r="AQ45" s="23">
        <v>12</v>
      </c>
      <c r="AR45" s="24">
        <v>0</v>
      </c>
      <c r="AS45" s="20">
        <v>12</v>
      </c>
      <c r="AT45" s="19">
        <v>37</v>
      </c>
      <c r="AU45" s="23">
        <v>34</v>
      </c>
      <c r="AV45" s="24">
        <v>0</v>
      </c>
      <c r="AW45" s="23">
        <v>12</v>
      </c>
      <c r="AX45" s="24">
        <v>0</v>
      </c>
      <c r="AY45" s="23">
        <v>12</v>
      </c>
      <c r="AZ45" s="24">
        <v>0</v>
      </c>
      <c r="BA45" s="23">
        <v>12</v>
      </c>
      <c r="BB45" s="24">
        <v>37</v>
      </c>
      <c r="BC45" s="23">
        <v>34</v>
      </c>
      <c r="BD45" s="24">
        <v>25</v>
      </c>
      <c r="BE45" s="23">
        <v>29</v>
      </c>
      <c r="BF45" s="24">
        <v>12</v>
      </c>
      <c r="BG45" s="23">
        <v>21</v>
      </c>
      <c r="BH45" s="24">
        <v>0</v>
      </c>
      <c r="BI45" s="23">
        <v>12</v>
      </c>
      <c r="BJ45" s="24">
        <v>0</v>
      </c>
      <c r="BK45" s="23">
        <v>12</v>
      </c>
      <c r="BL45" s="24">
        <v>0</v>
      </c>
      <c r="BM45" s="20">
        <v>12</v>
      </c>
      <c r="BN45" s="19">
        <v>309</v>
      </c>
      <c r="BO45" s="23">
        <v>165</v>
      </c>
      <c r="BP45" s="24">
        <v>36</v>
      </c>
      <c r="BQ45" s="23">
        <v>44</v>
      </c>
      <c r="BR45" s="24">
        <v>36</v>
      </c>
      <c r="BS45" s="23">
        <v>44</v>
      </c>
      <c r="BT45" s="26">
        <v>0</v>
      </c>
      <c r="BU45" s="23">
        <v>12</v>
      </c>
      <c r="BV45" s="24">
        <v>148</v>
      </c>
      <c r="BW45" s="23">
        <v>97</v>
      </c>
      <c r="BX45" s="24">
        <v>148</v>
      </c>
      <c r="BY45" s="23">
        <v>97</v>
      </c>
      <c r="BZ45" s="24">
        <v>0</v>
      </c>
      <c r="CA45" s="23">
        <v>12</v>
      </c>
      <c r="CB45" s="24">
        <v>125</v>
      </c>
      <c r="CC45" s="23">
        <v>124</v>
      </c>
      <c r="CD45" s="24">
        <v>125</v>
      </c>
      <c r="CE45" s="23">
        <v>124</v>
      </c>
      <c r="CF45" s="24">
        <v>0</v>
      </c>
      <c r="CG45" s="20">
        <v>12</v>
      </c>
    </row>
    <row r="46" spans="1:85" x14ac:dyDescent="0.3">
      <c r="A46" t="s">
        <v>91</v>
      </c>
      <c r="B46">
        <v>20675</v>
      </c>
      <c r="C46" t="s">
        <v>92</v>
      </c>
      <c r="D46" s="19">
        <v>1924</v>
      </c>
      <c r="E46" s="20">
        <v>304</v>
      </c>
      <c r="F46" s="19">
        <v>231</v>
      </c>
      <c r="G46" s="23">
        <v>198</v>
      </c>
      <c r="H46" s="24">
        <v>7</v>
      </c>
      <c r="I46" s="23">
        <v>24</v>
      </c>
      <c r="J46" s="24">
        <v>7</v>
      </c>
      <c r="K46" s="23">
        <v>24</v>
      </c>
      <c r="L46" s="24">
        <v>0</v>
      </c>
      <c r="M46" s="23">
        <v>24</v>
      </c>
      <c r="N46" s="24">
        <v>182</v>
      </c>
      <c r="O46" s="23">
        <v>188</v>
      </c>
      <c r="P46" s="24">
        <v>88</v>
      </c>
      <c r="Q46" s="23">
        <v>106</v>
      </c>
      <c r="R46" s="24">
        <v>94</v>
      </c>
      <c r="S46" s="23">
        <v>103</v>
      </c>
      <c r="T46" s="24">
        <v>42</v>
      </c>
      <c r="U46" s="23">
        <v>67</v>
      </c>
      <c r="V46" s="24">
        <v>42</v>
      </c>
      <c r="W46" s="23">
        <v>67</v>
      </c>
      <c r="X46" s="24">
        <v>0</v>
      </c>
      <c r="Y46" s="20">
        <v>24</v>
      </c>
      <c r="Z46" s="19">
        <v>20</v>
      </c>
      <c r="AA46" s="23">
        <v>33</v>
      </c>
      <c r="AB46" s="24">
        <v>0</v>
      </c>
      <c r="AC46" s="23">
        <v>12</v>
      </c>
      <c r="AD46" s="24">
        <v>0</v>
      </c>
      <c r="AE46" s="23">
        <v>12</v>
      </c>
      <c r="AF46" s="24">
        <v>0</v>
      </c>
      <c r="AG46" s="23">
        <v>12</v>
      </c>
      <c r="AH46" s="24">
        <v>20</v>
      </c>
      <c r="AI46" s="23">
        <v>33</v>
      </c>
      <c r="AJ46" s="24">
        <v>20</v>
      </c>
      <c r="AK46" s="23">
        <v>33</v>
      </c>
      <c r="AL46" s="24">
        <v>0</v>
      </c>
      <c r="AM46" s="23">
        <v>12</v>
      </c>
      <c r="AN46" s="24">
        <v>0</v>
      </c>
      <c r="AO46" s="23">
        <v>12</v>
      </c>
      <c r="AP46" s="24">
        <v>0</v>
      </c>
      <c r="AQ46" s="23">
        <v>12</v>
      </c>
      <c r="AR46" s="24">
        <v>0</v>
      </c>
      <c r="AS46" s="20">
        <v>12</v>
      </c>
      <c r="AT46" s="19">
        <v>566</v>
      </c>
      <c r="AU46" s="23">
        <v>274</v>
      </c>
      <c r="AV46" s="24">
        <v>108</v>
      </c>
      <c r="AW46" s="23">
        <v>109</v>
      </c>
      <c r="AX46" s="24">
        <v>108</v>
      </c>
      <c r="AY46" s="23">
        <v>109</v>
      </c>
      <c r="AZ46" s="24">
        <v>0</v>
      </c>
      <c r="BA46" s="23">
        <v>12</v>
      </c>
      <c r="BB46" s="24">
        <v>325</v>
      </c>
      <c r="BC46" s="23">
        <v>181</v>
      </c>
      <c r="BD46" s="24">
        <v>285</v>
      </c>
      <c r="BE46" s="23">
        <v>169</v>
      </c>
      <c r="BF46" s="24">
        <v>40</v>
      </c>
      <c r="BG46" s="23">
        <v>61</v>
      </c>
      <c r="BH46" s="24">
        <v>133</v>
      </c>
      <c r="BI46" s="23">
        <v>88</v>
      </c>
      <c r="BJ46" s="24">
        <v>133</v>
      </c>
      <c r="BK46" s="23">
        <v>88</v>
      </c>
      <c r="BL46" s="24">
        <v>0</v>
      </c>
      <c r="BM46" s="20">
        <v>12</v>
      </c>
      <c r="BN46" s="19">
        <v>1107</v>
      </c>
      <c r="BO46" s="23">
        <v>287</v>
      </c>
      <c r="BP46" s="24">
        <v>223</v>
      </c>
      <c r="BQ46" s="23">
        <v>114</v>
      </c>
      <c r="BR46" s="24">
        <v>223</v>
      </c>
      <c r="BS46" s="23">
        <v>114</v>
      </c>
      <c r="BT46" s="26">
        <v>0</v>
      </c>
      <c r="BU46" s="23">
        <v>12</v>
      </c>
      <c r="BV46" s="24">
        <v>739</v>
      </c>
      <c r="BW46" s="23">
        <v>197</v>
      </c>
      <c r="BX46" s="24">
        <v>730</v>
      </c>
      <c r="BY46" s="23">
        <v>196</v>
      </c>
      <c r="BZ46" s="24">
        <v>9</v>
      </c>
      <c r="CA46" s="23">
        <v>15</v>
      </c>
      <c r="CB46" s="24">
        <v>145</v>
      </c>
      <c r="CC46" s="23">
        <v>69</v>
      </c>
      <c r="CD46" s="24">
        <v>145</v>
      </c>
      <c r="CE46" s="23">
        <v>69</v>
      </c>
      <c r="CF46" s="24">
        <v>0</v>
      </c>
      <c r="CG46" s="20">
        <v>12</v>
      </c>
    </row>
    <row r="47" spans="1:85" x14ac:dyDescent="0.3">
      <c r="A47" t="s">
        <v>93</v>
      </c>
      <c r="B47">
        <v>20676</v>
      </c>
      <c r="C47" t="s">
        <v>94</v>
      </c>
      <c r="D47" s="19">
        <v>4476</v>
      </c>
      <c r="E47" s="20">
        <v>724</v>
      </c>
      <c r="F47" s="19">
        <v>467</v>
      </c>
      <c r="G47" s="23">
        <v>401</v>
      </c>
      <c r="H47" s="24">
        <v>192</v>
      </c>
      <c r="I47" s="23">
        <v>250</v>
      </c>
      <c r="J47" s="24">
        <v>192</v>
      </c>
      <c r="K47" s="23">
        <v>250</v>
      </c>
      <c r="L47" s="24">
        <v>0</v>
      </c>
      <c r="M47" s="23">
        <v>24</v>
      </c>
      <c r="N47" s="24">
        <v>201</v>
      </c>
      <c r="O47" s="23">
        <v>149</v>
      </c>
      <c r="P47" s="24">
        <v>136</v>
      </c>
      <c r="Q47" s="23">
        <v>102</v>
      </c>
      <c r="R47" s="24">
        <v>65</v>
      </c>
      <c r="S47" s="23">
        <v>90</v>
      </c>
      <c r="T47" s="24">
        <v>74</v>
      </c>
      <c r="U47" s="23">
        <v>94</v>
      </c>
      <c r="V47" s="24">
        <v>74</v>
      </c>
      <c r="W47" s="23">
        <v>94</v>
      </c>
      <c r="X47" s="24">
        <v>0</v>
      </c>
      <c r="Y47" s="20">
        <v>24</v>
      </c>
      <c r="Z47" s="19">
        <v>88</v>
      </c>
      <c r="AA47" s="23">
        <v>121</v>
      </c>
      <c r="AB47" s="24">
        <v>55</v>
      </c>
      <c r="AC47" s="23">
        <v>85</v>
      </c>
      <c r="AD47" s="24">
        <v>55</v>
      </c>
      <c r="AE47" s="23">
        <v>85</v>
      </c>
      <c r="AF47" s="24">
        <v>0</v>
      </c>
      <c r="AG47" s="23">
        <v>12</v>
      </c>
      <c r="AH47" s="24">
        <v>33</v>
      </c>
      <c r="AI47" s="23">
        <v>40</v>
      </c>
      <c r="AJ47" s="24">
        <v>33</v>
      </c>
      <c r="AK47" s="23">
        <v>40</v>
      </c>
      <c r="AL47" s="24">
        <v>0</v>
      </c>
      <c r="AM47" s="23">
        <v>12</v>
      </c>
      <c r="AN47" s="24">
        <v>0</v>
      </c>
      <c r="AO47" s="23">
        <v>12</v>
      </c>
      <c r="AP47" s="24">
        <v>0</v>
      </c>
      <c r="AQ47" s="23">
        <v>12</v>
      </c>
      <c r="AR47" s="24">
        <v>0</v>
      </c>
      <c r="AS47" s="20">
        <v>12</v>
      </c>
      <c r="AT47" s="19">
        <v>1269</v>
      </c>
      <c r="AU47" s="23">
        <v>447</v>
      </c>
      <c r="AV47" s="24">
        <v>489</v>
      </c>
      <c r="AW47" s="23">
        <v>243</v>
      </c>
      <c r="AX47" s="24">
        <v>489</v>
      </c>
      <c r="AY47" s="23">
        <v>243</v>
      </c>
      <c r="AZ47" s="24">
        <v>0</v>
      </c>
      <c r="BA47" s="23">
        <v>12</v>
      </c>
      <c r="BB47" s="24">
        <v>692</v>
      </c>
      <c r="BC47" s="23">
        <v>267</v>
      </c>
      <c r="BD47" s="24">
        <v>692</v>
      </c>
      <c r="BE47" s="23">
        <v>267</v>
      </c>
      <c r="BF47" s="24">
        <v>0</v>
      </c>
      <c r="BG47" s="23">
        <v>12</v>
      </c>
      <c r="BH47" s="24">
        <v>88</v>
      </c>
      <c r="BI47" s="23">
        <v>49</v>
      </c>
      <c r="BJ47" s="24">
        <v>88</v>
      </c>
      <c r="BK47" s="23">
        <v>49</v>
      </c>
      <c r="BL47" s="24">
        <v>0</v>
      </c>
      <c r="BM47" s="20">
        <v>12</v>
      </c>
      <c r="BN47" s="19">
        <v>2652</v>
      </c>
      <c r="BO47" s="23">
        <v>661</v>
      </c>
      <c r="BP47" s="24">
        <v>683</v>
      </c>
      <c r="BQ47" s="23">
        <v>265</v>
      </c>
      <c r="BR47" s="24">
        <v>683</v>
      </c>
      <c r="BS47" s="23">
        <v>265</v>
      </c>
      <c r="BT47" s="26">
        <v>0</v>
      </c>
      <c r="BU47" s="23">
        <v>12</v>
      </c>
      <c r="BV47" s="24">
        <v>1713</v>
      </c>
      <c r="BW47" s="23">
        <v>451</v>
      </c>
      <c r="BX47" s="24">
        <v>1657</v>
      </c>
      <c r="BY47" s="23">
        <v>443</v>
      </c>
      <c r="BZ47" s="24">
        <v>56</v>
      </c>
      <c r="CA47" s="23">
        <v>48</v>
      </c>
      <c r="CB47" s="24">
        <v>256</v>
      </c>
      <c r="CC47" s="23">
        <v>103</v>
      </c>
      <c r="CD47" s="24">
        <v>256</v>
      </c>
      <c r="CE47" s="23">
        <v>103</v>
      </c>
      <c r="CF47" s="24">
        <v>0</v>
      </c>
      <c r="CG47" s="20">
        <v>12</v>
      </c>
    </row>
    <row r="48" spans="1:85" x14ac:dyDescent="0.3">
      <c r="A48" t="s">
        <v>95</v>
      </c>
      <c r="B48">
        <v>20677</v>
      </c>
      <c r="C48" t="s">
        <v>96</v>
      </c>
      <c r="D48" s="19">
        <v>2544</v>
      </c>
      <c r="E48" s="20">
        <v>438</v>
      </c>
      <c r="F48" s="19">
        <v>219</v>
      </c>
      <c r="G48" s="23">
        <v>136</v>
      </c>
      <c r="H48" s="24">
        <v>41</v>
      </c>
      <c r="I48" s="23">
        <v>52</v>
      </c>
      <c r="J48" s="24">
        <v>41</v>
      </c>
      <c r="K48" s="23">
        <v>52</v>
      </c>
      <c r="L48" s="24">
        <v>0</v>
      </c>
      <c r="M48" s="23">
        <v>24</v>
      </c>
      <c r="N48" s="24">
        <v>147</v>
      </c>
      <c r="O48" s="23">
        <v>101</v>
      </c>
      <c r="P48" s="24">
        <v>119</v>
      </c>
      <c r="Q48" s="23">
        <v>88</v>
      </c>
      <c r="R48" s="24">
        <v>28</v>
      </c>
      <c r="S48" s="23">
        <v>38</v>
      </c>
      <c r="T48" s="24">
        <v>31</v>
      </c>
      <c r="U48" s="23">
        <v>47</v>
      </c>
      <c r="V48" s="24">
        <v>31</v>
      </c>
      <c r="W48" s="23">
        <v>47</v>
      </c>
      <c r="X48" s="24">
        <v>0</v>
      </c>
      <c r="Y48" s="20">
        <v>24</v>
      </c>
      <c r="Z48" s="19">
        <v>105</v>
      </c>
      <c r="AA48" s="23">
        <v>85</v>
      </c>
      <c r="AB48" s="24">
        <v>21</v>
      </c>
      <c r="AC48" s="23">
        <v>33</v>
      </c>
      <c r="AD48" s="24">
        <v>21</v>
      </c>
      <c r="AE48" s="23">
        <v>33</v>
      </c>
      <c r="AF48" s="24">
        <v>0</v>
      </c>
      <c r="AG48" s="23">
        <v>12</v>
      </c>
      <c r="AH48" s="24">
        <v>45</v>
      </c>
      <c r="AI48" s="23">
        <v>43</v>
      </c>
      <c r="AJ48" s="24">
        <v>37</v>
      </c>
      <c r="AK48" s="23">
        <v>42</v>
      </c>
      <c r="AL48" s="24">
        <v>8</v>
      </c>
      <c r="AM48" s="23">
        <v>13</v>
      </c>
      <c r="AN48" s="24">
        <v>39</v>
      </c>
      <c r="AO48" s="23">
        <v>45</v>
      </c>
      <c r="AP48" s="24">
        <v>39</v>
      </c>
      <c r="AQ48" s="23">
        <v>45</v>
      </c>
      <c r="AR48" s="24">
        <v>0</v>
      </c>
      <c r="AS48" s="20">
        <v>12</v>
      </c>
      <c r="AT48" s="19">
        <v>547</v>
      </c>
      <c r="AU48" s="23">
        <v>266</v>
      </c>
      <c r="AV48" s="24">
        <v>158</v>
      </c>
      <c r="AW48" s="23">
        <v>117</v>
      </c>
      <c r="AX48" s="24">
        <v>132</v>
      </c>
      <c r="AY48" s="23">
        <v>99</v>
      </c>
      <c r="AZ48" s="24">
        <v>26</v>
      </c>
      <c r="BA48" s="23">
        <v>38</v>
      </c>
      <c r="BB48" s="24">
        <v>300</v>
      </c>
      <c r="BC48" s="23">
        <v>153</v>
      </c>
      <c r="BD48" s="24">
        <v>284</v>
      </c>
      <c r="BE48" s="23">
        <v>144</v>
      </c>
      <c r="BF48" s="24">
        <v>16</v>
      </c>
      <c r="BG48" s="23">
        <v>24</v>
      </c>
      <c r="BH48" s="24">
        <v>89</v>
      </c>
      <c r="BI48" s="23">
        <v>62</v>
      </c>
      <c r="BJ48" s="24">
        <v>89</v>
      </c>
      <c r="BK48" s="23">
        <v>62</v>
      </c>
      <c r="BL48" s="24">
        <v>0</v>
      </c>
      <c r="BM48" s="20">
        <v>12</v>
      </c>
      <c r="BN48" s="19">
        <v>1673</v>
      </c>
      <c r="BO48" s="23">
        <v>424</v>
      </c>
      <c r="BP48" s="24">
        <v>340</v>
      </c>
      <c r="BQ48" s="23">
        <v>138</v>
      </c>
      <c r="BR48" s="24">
        <v>340</v>
      </c>
      <c r="BS48" s="23">
        <v>138</v>
      </c>
      <c r="BT48" s="26">
        <v>0</v>
      </c>
      <c r="BU48" s="23">
        <v>12</v>
      </c>
      <c r="BV48" s="24">
        <v>1140</v>
      </c>
      <c r="BW48" s="23">
        <v>330</v>
      </c>
      <c r="BX48" s="24">
        <v>1125</v>
      </c>
      <c r="BY48" s="23">
        <v>328</v>
      </c>
      <c r="BZ48" s="24">
        <v>15</v>
      </c>
      <c r="CA48" s="23">
        <v>17</v>
      </c>
      <c r="CB48" s="24">
        <v>193</v>
      </c>
      <c r="CC48" s="23">
        <v>72</v>
      </c>
      <c r="CD48" s="24">
        <v>193</v>
      </c>
      <c r="CE48" s="23">
        <v>72</v>
      </c>
      <c r="CF48" s="24">
        <v>0</v>
      </c>
      <c r="CG48" s="20">
        <v>12</v>
      </c>
    </row>
    <row r="49" spans="1:85" x14ac:dyDescent="0.3">
      <c r="A49" t="s">
        <v>97</v>
      </c>
      <c r="B49">
        <v>20678</v>
      </c>
      <c r="C49" t="s">
        <v>98</v>
      </c>
      <c r="D49" s="19">
        <v>12108</v>
      </c>
      <c r="E49" s="20">
        <v>590</v>
      </c>
      <c r="F49" s="19">
        <v>1379</v>
      </c>
      <c r="G49" s="23">
        <v>549</v>
      </c>
      <c r="H49" s="24">
        <v>496</v>
      </c>
      <c r="I49" s="23">
        <v>332</v>
      </c>
      <c r="J49" s="24">
        <v>496</v>
      </c>
      <c r="K49" s="23">
        <v>332</v>
      </c>
      <c r="L49" s="24">
        <v>0</v>
      </c>
      <c r="M49" s="23">
        <v>38</v>
      </c>
      <c r="N49" s="24">
        <v>667</v>
      </c>
      <c r="O49" s="23">
        <v>297</v>
      </c>
      <c r="P49" s="24">
        <v>449</v>
      </c>
      <c r="Q49" s="23">
        <v>186</v>
      </c>
      <c r="R49" s="24">
        <v>218</v>
      </c>
      <c r="S49" s="23">
        <v>189</v>
      </c>
      <c r="T49" s="24">
        <v>216</v>
      </c>
      <c r="U49" s="23">
        <v>158</v>
      </c>
      <c r="V49" s="24">
        <v>212</v>
      </c>
      <c r="W49" s="23">
        <v>150</v>
      </c>
      <c r="X49" s="24">
        <v>4</v>
      </c>
      <c r="Y49" s="20">
        <v>48</v>
      </c>
      <c r="Z49" s="19">
        <v>831</v>
      </c>
      <c r="AA49" s="23">
        <v>282</v>
      </c>
      <c r="AB49" s="24">
        <v>219</v>
      </c>
      <c r="AC49" s="23">
        <v>121</v>
      </c>
      <c r="AD49" s="24">
        <v>195</v>
      </c>
      <c r="AE49" s="23">
        <v>115</v>
      </c>
      <c r="AF49" s="24">
        <v>24</v>
      </c>
      <c r="AG49" s="23">
        <v>36</v>
      </c>
      <c r="AH49" s="24">
        <v>387</v>
      </c>
      <c r="AI49" s="23">
        <v>167</v>
      </c>
      <c r="AJ49" s="24">
        <v>322</v>
      </c>
      <c r="AK49" s="23">
        <v>148</v>
      </c>
      <c r="AL49" s="24">
        <v>65</v>
      </c>
      <c r="AM49" s="23">
        <v>54</v>
      </c>
      <c r="AN49" s="24">
        <v>225</v>
      </c>
      <c r="AO49" s="23">
        <v>68</v>
      </c>
      <c r="AP49" s="24">
        <v>225</v>
      </c>
      <c r="AQ49" s="23">
        <v>68</v>
      </c>
      <c r="AR49" s="24">
        <v>0</v>
      </c>
      <c r="AS49" s="20">
        <v>19</v>
      </c>
      <c r="AT49" s="19">
        <v>2816</v>
      </c>
      <c r="AU49" s="23">
        <v>490</v>
      </c>
      <c r="AV49" s="24">
        <v>606</v>
      </c>
      <c r="AW49" s="23">
        <v>187</v>
      </c>
      <c r="AX49" s="24">
        <v>606</v>
      </c>
      <c r="AY49" s="23">
        <v>187</v>
      </c>
      <c r="AZ49" s="24">
        <v>0</v>
      </c>
      <c r="BA49" s="23">
        <v>19</v>
      </c>
      <c r="BB49" s="24">
        <v>1593</v>
      </c>
      <c r="BC49" s="23">
        <v>310</v>
      </c>
      <c r="BD49" s="24">
        <v>1431</v>
      </c>
      <c r="BE49" s="23">
        <v>291</v>
      </c>
      <c r="BF49" s="24">
        <v>162</v>
      </c>
      <c r="BG49" s="23">
        <v>99</v>
      </c>
      <c r="BH49" s="24">
        <v>617</v>
      </c>
      <c r="BI49" s="23">
        <v>150</v>
      </c>
      <c r="BJ49" s="24">
        <v>580</v>
      </c>
      <c r="BK49" s="23">
        <v>145</v>
      </c>
      <c r="BL49" s="24">
        <v>37</v>
      </c>
      <c r="BM49" s="20">
        <v>37</v>
      </c>
      <c r="BN49" s="19">
        <v>7082</v>
      </c>
      <c r="BO49" s="23">
        <v>737</v>
      </c>
      <c r="BP49" s="24">
        <v>1551</v>
      </c>
      <c r="BQ49" s="23">
        <v>333</v>
      </c>
      <c r="BR49" s="24">
        <v>1551</v>
      </c>
      <c r="BS49" s="23">
        <v>333</v>
      </c>
      <c r="BT49" s="26">
        <v>0</v>
      </c>
      <c r="BU49" s="23">
        <v>19</v>
      </c>
      <c r="BV49" s="24">
        <v>4671</v>
      </c>
      <c r="BW49" s="23">
        <v>491</v>
      </c>
      <c r="BX49" s="24">
        <v>4444</v>
      </c>
      <c r="BY49" s="23">
        <v>473</v>
      </c>
      <c r="BZ49" s="24">
        <v>227</v>
      </c>
      <c r="CA49" s="23">
        <v>119</v>
      </c>
      <c r="CB49" s="24">
        <v>860</v>
      </c>
      <c r="CC49" s="23">
        <v>184</v>
      </c>
      <c r="CD49" s="24">
        <v>860</v>
      </c>
      <c r="CE49" s="23">
        <v>184</v>
      </c>
      <c r="CF49" s="24">
        <v>0</v>
      </c>
      <c r="CG49" s="20">
        <v>19</v>
      </c>
    </row>
    <row r="50" spans="1:85" x14ac:dyDescent="0.3">
      <c r="A50" t="s">
        <v>99</v>
      </c>
      <c r="B50">
        <v>20680</v>
      </c>
      <c r="C50" t="s">
        <v>100</v>
      </c>
      <c r="D50" s="19">
        <v>879</v>
      </c>
      <c r="E50" s="20">
        <v>323</v>
      </c>
      <c r="F50" s="19">
        <v>43</v>
      </c>
      <c r="G50" s="23">
        <v>72</v>
      </c>
      <c r="H50" s="24">
        <v>14</v>
      </c>
      <c r="I50" s="23">
        <v>35</v>
      </c>
      <c r="J50" s="24">
        <v>14</v>
      </c>
      <c r="K50" s="23">
        <v>35</v>
      </c>
      <c r="L50" s="24">
        <v>0</v>
      </c>
      <c r="M50" s="23">
        <v>24</v>
      </c>
      <c r="N50" s="24">
        <v>27</v>
      </c>
      <c r="O50" s="23">
        <v>46</v>
      </c>
      <c r="P50" s="24">
        <v>1</v>
      </c>
      <c r="Q50" s="23">
        <v>14</v>
      </c>
      <c r="R50" s="24">
        <v>26</v>
      </c>
      <c r="S50" s="23">
        <v>56</v>
      </c>
      <c r="T50" s="24">
        <v>2</v>
      </c>
      <c r="U50" s="23">
        <v>16</v>
      </c>
      <c r="V50" s="24">
        <v>2</v>
      </c>
      <c r="W50" s="23">
        <v>16</v>
      </c>
      <c r="X50" s="24">
        <v>0</v>
      </c>
      <c r="Y50" s="20">
        <v>24</v>
      </c>
      <c r="Z50" s="19">
        <v>117</v>
      </c>
      <c r="AA50" s="23">
        <v>129</v>
      </c>
      <c r="AB50" s="24">
        <v>17</v>
      </c>
      <c r="AC50" s="23">
        <v>25</v>
      </c>
      <c r="AD50" s="24">
        <v>17</v>
      </c>
      <c r="AE50" s="23">
        <v>25</v>
      </c>
      <c r="AF50" s="24">
        <v>0</v>
      </c>
      <c r="AG50" s="23">
        <v>12</v>
      </c>
      <c r="AH50" s="24">
        <v>100</v>
      </c>
      <c r="AI50" s="23">
        <v>114</v>
      </c>
      <c r="AJ50" s="24">
        <v>100</v>
      </c>
      <c r="AK50" s="23">
        <v>114</v>
      </c>
      <c r="AL50" s="24">
        <v>0</v>
      </c>
      <c r="AM50" s="23">
        <v>12</v>
      </c>
      <c r="AN50" s="24">
        <v>0</v>
      </c>
      <c r="AO50" s="23">
        <v>12</v>
      </c>
      <c r="AP50" s="24">
        <v>0</v>
      </c>
      <c r="AQ50" s="23">
        <v>12</v>
      </c>
      <c r="AR50" s="24">
        <v>0</v>
      </c>
      <c r="AS50" s="20">
        <v>12</v>
      </c>
      <c r="AT50" s="19">
        <v>201</v>
      </c>
      <c r="AU50" s="23">
        <v>184</v>
      </c>
      <c r="AV50" s="24">
        <v>65</v>
      </c>
      <c r="AW50" s="23">
        <v>83</v>
      </c>
      <c r="AX50" s="24">
        <v>65</v>
      </c>
      <c r="AY50" s="23">
        <v>83</v>
      </c>
      <c r="AZ50" s="24">
        <v>0</v>
      </c>
      <c r="BA50" s="23">
        <v>12</v>
      </c>
      <c r="BB50" s="24">
        <v>96</v>
      </c>
      <c r="BC50" s="23">
        <v>86</v>
      </c>
      <c r="BD50" s="24">
        <v>95</v>
      </c>
      <c r="BE50" s="23">
        <v>86</v>
      </c>
      <c r="BF50" s="24">
        <v>1</v>
      </c>
      <c r="BG50" s="23">
        <v>2</v>
      </c>
      <c r="BH50" s="24">
        <v>40</v>
      </c>
      <c r="BI50" s="23">
        <v>56</v>
      </c>
      <c r="BJ50" s="24">
        <v>40</v>
      </c>
      <c r="BK50" s="23">
        <v>56</v>
      </c>
      <c r="BL50" s="24">
        <v>0</v>
      </c>
      <c r="BM50" s="20">
        <v>12</v>
      </c>
      <c r="BN50" s="19">
        <v>518</v>
      </c>
      <c r="BO50" s="23">
        <v>314</v>
      </c>
      <c r="BP50" s="24">
        <v>197</v>
      </c>
      <c r="BQ50" s="23">
        <v>130</v>
      </c>
      <c r="BR50" s="24">
        <v>197</v>
      </c>
      <c r="BS50" s="23">
        <v>130</v>
      </c>
      <c r="BT50" s="26">
        <v>0</v>
      </c>
      <c r="BU50" s="23">
        <v>12</v>
      </c>
      <c r="BV50" s="24">
        <v>293</v>
      </c>
      <c r="BW50" s="23">
        <v>200</v>
      </c>
      <c r="BX50" s="24">
        <v>293</v>
      </c>
      <c r="BY50" s="23">
        <v>200</v>
      </c>
      <c r="BZ50" s="24">
        <v>0</v>
      </c>
      <c r="CA50" s="23">
        <v>12</v>
      </c>
      <c r="CB50" s="24">
        <v>28</v>
      </c>
      <c r="CC50" s="23">
        <v>36</v>
      </c>
      <c r="CD50" s="24">
        <v>28</v>
      </c>
      <c r="CE50" s="23">
        <v>36</v>
      </c>
      <c r="CF50" s="24">
        <v>0</v>
      </c>
      <c r="CG50" s="20">
        <v>12</v>
      </c>
    </row>
    <row r="51" spans="1:85" x14ac:dyDescent="0.3">
      <c r="A51" t="s">
        <v>101</v>
      </c>
      <c r="B51">
        <v>20684</v>
      </c>
      <c r="C51" t="s">
        <v>102</v>
      </c>
      <c r="D51" s="19">
        <v>1626</v>
      </c>
      <c r="E51" s="20">
        <v>485</v>
      </c>
      <c r="F51" s="19">
        <v>261</v>
      </c>
      <c r="G51" s="23">
        <v>340</v>
      </c>
      <c r="H51" s="24">
        <v>35</v>
      </c>
      <c r="I51" s="23">
        <v>61</v>
      </c>
      <c r="J51" s="24">
        <v>35</v>
      </c>
      <c r="K51" s="23">
        <v>61</v>
      </c>
      <c r="L51" s="24">
        <v>0</v>
      </c>
      <c r="M51" s="23">
        <v>24</v>
      </c>
      <c r="N51" s="24">
        <v>201</v>
      </c>
      <c r="O51" s="23">
        <v>250</v>
      </c>
      <c r="P51" s="24">
        <v>170</v>
      </c>
      <c r="Q51" s="23">
        <v>251</v>
      </c>
      <c r="R51" s="24">
        <v>31</v>
      </c>
      <c r="S51" s="23">
        <v>60</v>
      </c>
      <c r="T51" s="24">
        <v>25</v>
      </c>
      <c r="U51" s="23">
        <v>56</v>
      </c>
      <c r="V51" s="24">
        <v>25</v>
      </c>
      <c r="W51" s="23">
        <v>56</v>
      </c>
      <c r="X51" s="24">
        <v>0</v>
      </c>
      <c r="Y51" s="20">
        <v>24</v>
      </c>
      <c r="Z51" s="19">
        <v>123</v>
      </c>
      <c r="AA51" s="23">
        <v>119</v>
      </c>
      <c r="AB51" s="24">
        <v>35</v>
      </c>
      <c r="AC51" s="23">
        <v>54</v>
      </c>
      <c r="AD51" s="24">
        <v>35</v>
      </c>
      <c r="AE51" s="23">
        <v>54</v>
      </c>
      <c r="AF51" s="24">
        <v>0</v>
      </c>
      <c r="AG51" s="23">
        <v>12</v>
      </c>
      <c r="AH51" s="24">
        <v>88</v>
      </c>
      <c r="AI51" s="23">
        <v>88</v>
      </c>
      <c r="AJ51" s="24">
        <v>56</v>
      </c>
      <c r="AK51" s="23">
        <v>78</v>
      </c>
      <c r="AL51" s="24">
        <v>32</v>
      </c>
      <c r="AM51" s="23">
        <v>50</v>
      </c>
      <c r="AN51" s="24">
        <v>0</v>
      </c>
      <c r="AO51" s="23">
        <v>12</v>
      </c>
      <c r="AP51" s="24">
        <v>0</v>
      </c>
      <c r="AQ51" s="23">
        <v>12</v>
      </c>
      <c r="AR51" s="24">
        <v>0</v>
      </c>
      <c r="AS51" s="20">
        <v>12</v>
      </c>
      <c r="AT51" s="19">
        <v>361</v>
      </c>
      <c r="AU51" s="23">
        <v>235</v>
      </c>
      <c r="AV51" s="24">
        <v>50</v>
      </c>
      <c r="AW51" s="23">
        <v>87</v>
      </c>
      <c r="AX51" s="24">
        <v>50</v>
      </c>
      <c r="AY51" s="23">
        <v>87</v>
      </c>
      <c r="AZ51" s="24">
        <v>0</v>
      </c>
      <c r="BA51" s="23">
        <v>12</v>
      </c>
      <c r="BB51" s="24">
        <v>201</v>
      </c>
      <c r="BC51" s="23">
        <v>155</v>
      </c>
      <c r="BD51" s="24">
        <v>201</v>
      </c>
      <c r="BE51" s="23">
        <v>155</v>
      </c>
      <c r="BF51" s="24">
        <v>0</v>
      </c>
      <c r="BG51" s="23">
        <v>12</v>
      </c>
      <c r="BH51" s="24">
        <v>110</v>
      </c>
      <c r="BI51" s="23">
        <v>90</v>
      </c>
      <c r="BJ51" s="24">
        <v>110</v>
      </c>
      <c r="BK51" s="23">
        <v>90</v>
      </c>
      <c r="BL51" s="24">
        <v>0</v>
      </c>
      <c r="BM51" s="20">
        <v>12</v>
      </c>
      <c r="BN51" s="19">
        <v>881</v>
      </c>
      <c r="BO51" s="23">
        <v>434</v>
      </c>
      <c r="BP51" s="24">
        <v>59</v>
      </c>
      <c r="BQ51" s="23">
        <v>73</v>
      </c>
      <c r="BR51" s="24">
        <v>27</v>
      </c>
      <c r="BS51" s="23">
        <v>46</v>
      </c>
      <c r="BT51" s="26">
        <v>32</v>
      </c>
      <c r="BU51" s="23">
        <v>54</v>
      </c>
      <c r="BV51" s="24">
        <v>755</v>
      </c>
      <c r="BW51" s="23">
        <v>411</v>
      </c>
      <c r="BX51" s="24">
        <v>721</v>
      </c>
      <c r="BY51" s="23">
        <v>393</v>
      </c>
      <c r="BZ51" s="24">
        <v>34</v>
      </c>
      <c r="CA51" s="23">
        <v>53</v>
      </c>
      <c r="CB51" s="24">
        <v>67</v>
      </c>
      <c r="CC51" s="23">
        <v>55</v>
      </c>
      <c r="CD51" s="24">
        <v>67</v>
      </c>
      <c r="CE51" s="23">
        <v>55</v>
      </c>
      <c r="CF51" s="24">
        <v>0</v>
      </c>
      <c r="CG51" s="20">
        <v>12</v>
      </c>
    </row>
    <row r="52" spans="1:85" x14ac:dyDescent="0.3">
      <c r="A52" t="s">
        <v>103</v>
      </c>
      <c r="B52">
        <v>20685</v>
      </c>
      <c r="C52" t="s">
        <v>104</v>
      </c>
      <c r="D52" s="19">
        <v>6472</v>
      </c>
      <c r="E52" s="20">
        <v>593</v>
      </c>
      <c r="F52" s="19">
        <v>757</v>
      </c>
      <c r="G52" s="23">
        <v>428</v>
      </c>
      <c r="H52" s="24">
        <v>177</v>
      </c>
      <c r="I52" s="23">
        <v>194</v>
      </c>
      <c r="J52" s="24">
        <v>145</v>
      </c>
      <c r="K52" s="23">
        <v>190</v>
      </c>
      <c r="L52" s="24">
        <v>32</v>
      </c>
      <c r="M52" s="23">
        <v>56</v>
      </c>
      <c r="N52" s="24">
        <v>481</v>
      </c>
      <c r="O52" s="23">
        <v>243</v>
      </c>
      <c r="P52" s="24">
        <v>327</v>
      </c>
      <c r="Q52" s="23">
        <v>166</v>
      </c>
      <c r="R52" s="24">
        <v>154</v>
      </c>
      <c r="S52" s="23">
        <v>142</v>
      </c>
      <c r="T52" s="24">
        <v>99</v>
      </c>
      <c r="U52" s="23">
        <v>103</v>
      </c>
      <c r="V52" s="24">
        <v>99</v>
      </c>
      <c r="W52" s="23">
        <v>103</v>
      </c>
      <c r="X52" s="24">
        <v>0</v>
      </c>
      <c r="Y52" s="20">
        <v>34</v>
      </c>
      <c r="Z52" s="19">
        <v>219</v>
      </c>
      <c r="AA52" s="23">
        <v>133</v>
      </c>
      <c r="AB52" s="24">
        <v>57</v>
      </c>
      <c r="AC52" s="23">
        <v>52</v>
      </c>
      <c r="AD52" s="24">
        <v>41</v>
      </c>
      <c r="AE52" s="23">
        <v>47</v>
      </c>
      <c r="AF52" s="24">
        <v>16</v>
      </c>
      <c r="AG52" s="23">
        <v>22</v>
      </c>
      <c r="AH52" s="24">
        <v>90</v>
      </c>
      <c r="AI52" s="23">
        <v>69</v>
      </c>
      <c r="AJ52" s="24">
        <v>69</v>
      </c>
      <c r="AK52" s="23">
        <v>61</v>
      </c>
      <c r="AL52" s="24">
        <v>21</v>
      </c>
      <c r="AM52" s="23">
        <v>25</v>
      </c>
      <c r="AN52" s="24">
        <v>72</v>
      </c>
      <c r="AO52" s="23">
        <v>45</v>
      </c>
      <c r="AP52" s="24">
        <v>72</v>
      </c>
      <c r="AQ52" s="23">
        <v>45</v>
      </c>
      <c r="AR52" s="24">
        <v>0</v>
      </c>
      <c r="AS52" s="20">
        <v>17</v>
      </c>
      <c r="AT52" s="19">
        <v>1579</v>
      </c>
      <c r="AU52" s="23">
        <v>530</v>
      </c>
      <c r="AV52" s="24">
        <v>481</v>
      </c>
      <c r="AW52" s="23">
        <v>265</v>
      </c>
      <c r="AX52" s="24">
        <v>481</v>
      </c>
      <c r="AY52" s="23">
        <v>265</v>
      </c>
      <c r="AZ52" s="24">
        <v>0</v>
      </c>
      <c r="BA52" s="23">
        <v>17</v>
      </c>
      <c r="BB52" s="24">
        <v>860</v>
      </c>
      <c r="BC52" s="23">
        <v>318</v>
      </c>
      <c r="BD52" s="24">
        <v>809</v>
      </c>
      <c r="BE52" s="23">
        <v>289</v>
      </c>
      <c r="BF52" s="24">
        <v>51</v>
      </c>
      <c r="BG52" s="23">
        <v>62</v>
      </c>
      <c r="BH52" s="24">
        <v>238</v>
      </c>
      <c r="BI52" s="23">
        <v>102</v>
      </c>
      <c r="BJ52" s="24">
        <v>238</v>
      </c>
      <c r="BK52" s="23">
        <v>102</v>
      </c>
      <c r="BL52" s="24">
        <v>0</v>
      </c>
      <c r="BM52" s="20">
        <v>17</v>
      </c>
      <c r="BN52" s="19">
        <v>3917</v>
      </c>
      <c r="BO52" s="23">
        <v>583</v>
      </c>
      <c r="BP52" s="24">
        <v>706</v>
      </c>
      <c r="BQ52" s="23">
        <v>175</v>
      </c>
      <c r="BR52" s="24">
        <v>706</v>
      </c>
      <c r="BS52" s="23">
        <v>175</v>
      </c>
      <c r="BT52" s="26">
        <v>0</v>
      </c>
      <c r="BU52" s="23">
        <v>17</v>
      </c>
      <c r="BV52" s="24">
        <v>2832</v>
      </c>
      <c r="BW52" s="23">
        <v>465</v>
      </c>
      <c r="BX52" s="24">
        <v>2743</v>
      </c>
      <c r="BY52" s="23">
        <v>441</v>
      </c>
      <c r="BZ52" s="24">
        <v>89</v>
      </c>
      <c r="CA52" s="23">
        <v>60</v>
      </c>
      <c r="CB52" s="24">
        <v>379</v>
      </c>
      <c r="CC52" s="23">
        <v>126</v>
      </c>
      <c r="CD52" s="24">
        <v>379</v>
      </c>
      <c r="CE52" s="23">
        <v>126</v>
      </c>
      <c r="CF52" s="24">
        <v>0</v>
      </c>
      <c r="CG52" s="20">
        <v>17</v>
      </c>
    </row>
    <row r="53" spans="1:85" x14ac:dyDescent="0.3">
      <c r="A53" t="s">
        <v>105</v>
      </c>
      <c r="B53">
        <v>20686</v>
      </c>
      <c r="C53" t="s">
        <v>106</v>
      </c>
      <c r="D53" s="19">
        <v>48</v>
      </c>
      <c r="E53" s="20">
        <v>91</v>
      </c>
      <c r="F53" s="19">
        <v>0</v>
      </c>
      <c r="G53" s="23">
        <v>24</v>
      </c>
      <c r="H53" s="24">
        <v>0</v>
      </c>
      <c r="I53" s="23">
        <v>24</v>
      </c>
      <c r="J53" s="24">
        <v>0</v>
      </c>
      <c r="K53" s="23">
        <v>24</v>
      </c>
      <c r="L53" s="24">
        <v>0</v>
      </c>
      <c r="M53" s="23">
        <v>24</v>
      </c>
      <c r="N53" s="24">
        <v>0</v>
      </c>
      <c r="O53" s="23">
        <v>24</v>
      </c>
      <c r="P53" s="24">
        <v>0</v>
      </c>
      <c r="Q53" s="23">
        <v>24</v>
      </c>
      <c r="R53" s="24">
        <v>0</v>
      </c>
      <c r="S53" s="23">
        <v>24</v>
      </c>
      <c r="T53" s="24">
        <v>0</v>
      </c>
      <c r="U53" s="23">
        <v>24</v>
      </c>
      <c r="V53" s="24">
        <v>0</v>
      </c>
      <c r="W53" s="23">
        <v>24</v>
      </c>
      <c r="X53" s="24">
        <v>0</v>
      </c>
      <c r="Y53" s="20">
        <v>24</v>
      </c>
      <c r="Z53" s="19">
        <v>0</v>
      </c>
      <c r="AA53" s="23">
        <v>12</v>
      </c>
      <c r="AB53" s="24">
        <v>0</v>
      </c>
      <c r="AC53" s="23">
        <v>12</v>
      </c>
      <c r="AD53" s="24">
        <v>0</v>
      </c>
      <c r="AE53" s="23">
        <v>12</v>
      </c>
      <c r="AF53" s="24">
        <v>0</v>
      </c>
      <c r="AG53" s="23">
        <v>12</v>
      </c>
      <c r="AH53" s="24">
        <v>0</v>
      </c>
      <c r="AI53" s="23">
        <v>12</v>
      </c>
      <c r="AJ53" s="24">
        <v>0</v>
      </c>
      <c r="AK53" s="23">
        <v>12</v>
      </c>
      <c r="AL53" s="24">
        <v>0</v>
      </c>
      <c r="AM53" s="23">
        <v>12</v>
      </c>
      <c r="AN53" s="24">
        <v>0</v>
      </c>
      <c r="AO53" s="23">
        <v>12</v>
      </c>
      <c r="AP53" s="24">
        <v>0</v>
      </c>
      <c r="AQ53" s="23">
        <v>12</v>
      </c>
      <c r="AR53" s="24">
        <v>0</v>
      </c>
      <c r="AS53" s="20">
        <v>12</v>
      </c>
      <c r="AT53" s="19">
        <v>0</v>
      </c>
      <c r="AU53" s="23">
        <v>12</v>
      </c>
      <c r="AV53" s="24">
        <v>0</v>
      </c>
      <c r="AW53" s="23">
        <v>12</v>
      </c>
      <c r="AX53" s="24">
        <v>0</v>
      </c>
      <c r="AY53" s="23">
        <v>12</v>
      </c>
      <c r="AZ53" s="24">
        <v>0</v>
      </c>
      <c r="BA53" s="23">
        <v>12</v>
      </c>
      <c r="BB53" s="24">
        <v>0</v>
      </c>
      <c r="BC53" s="23">
        <v>12</v>
      </c>
      <c r="BD53" s="24">
        <v>0</v>
      </c>
      <c r="BE53" s="23">
        <v>12</v>
      </c>
      <c r="BF53" s="24">
        <v>0</v>
      </c>
      <c r="BG53" s="23">
        <v>12</v>
      </c>
      <c r="BH53" s="24">
        <v>0</v>
      </c>
      <c r="BI53" s="23">
        <v>12</v>
      </c>
      <c r="BJ53" s="24">
        <v>0</v>
      </c>
      <c r="BK53" s="23">
        <v>12</v>
      </c>
      <c r="BL53" s="24">
        <v>0</v>
      </c>
      <c r="BM53" s="20">
        <v>12</v>
      </c>
      <c r="BN53" s="19">
        <v>48</v>
      </c>
      <c r="BO53" s="23">
        <v>91</v>
      </c>
      <c r="BP53" s="24">
        <v>0</v>
      </c>
      <c r="BQ53" s="23">
        <v>12</v>
      </c>
      <c r="BR53" s="24">
        <v>0</v>
      </c>
      <c r="BS53" s="23">
        <v>12</v>
      </c>
      <c r="BT53" s="26">
        <v>0</v>
      </c>
      <c r="BU53" s="23">
        <v>12</v>
      </c>
      <c r="BV53" s="24">
        <v>48</v>
      </c>
      <c r="BW53" s="23">
        <v>91</v>
      </c>
      <c r="BX53" s="24">
        <v>48</v>
      </c>
      <c r="BY53" s="23">
        <v>91</v>
      </c>
      <c r="BZ53" s="24">
        <v>0</v>
      </c>
      <c r="CA53" s="23">
        <v>12</v>
      </c>
      <c r="CB53" s="24">
        <v>0</v>
      </c>
      <c r="CC53" s="23">
        <v>12</v>
      </c>
      <c r="CD53" s="24">
        <v>0</v>
      </c>
      <c r="CE53" s="23">
        <v>12</v>
      </c>
      <c r="CF53" s="24">
        <v>0</v>
      </c>
      <c r="CG53" s="20">
        <v>12</v>
      </c>
    </row>
    <row r="54" spans="1:85" x14ac:dyDescent="0.3">
      <c r="A54" t="s">
        <v>107</v>
      </c>
      <c r="B54">
        <v>20687</v>
      </c>
      <c r="C54" t="s">
        <v>108</v>
      </c>
      <c r="D54" s="19">
        <v>242</v>
      </c>
      <c r="E54" s="20">
        <v>139</v>
      </c>
      <c r="F54" s="19">
        <v>19</v>
      </c>
      <c r="G54" s="23">
        <v>46</v>
      </c>
      <c r="H54" s="24">
        <v>0</v>
      </c>
      <c r="I54" s="23">
        <v>24</v>
      </c>
      <c r="J54" s="24">
        <v>0</v>
      </c>
      <c r="K54" s="23">
        <v>24</v>
      </c>
      <c r="L54" s="24">
        <v>0</v>
      </c>
      <c r="M54" s="23">
        <v>24</v>
      </c>
      <c r="N54" s="24">
        <v>10</v>
      </c>
      <c r="O54" s="23">
        <v>30</v>
      </c>
      <c r="P54" s="24">
        <v>10</v>
      </c>
      <c r="Q54" s="23">
        <v>30</v>
      </c>
      <c r="R54" s="24">
        <v>0</v>
      </c>
      <c r="S54" s="23">
        <v>24</v>
      </c>
      <c r="T54" s="24">
        <v>9</v>
      </c>
      <c r="U54" s="23">
        <v>28</v>
      </c>
      <c r="V54" s="24">
        <v>9</v>
      </c>
      <c r="W54" s="23">
        <v>28</v>
      </c>
      <c r="X54" s="24">
        <v>0</v>
      </c>
      <c r="Y54" s="20">
        <v>24</v>
      </c>
      <c r="Z54" s="19">
        <v>0</v>
      </c>
      <c r="AA54" s="23">
        <v>12</v>
      </c>
      <c r="AB54" s="24">
        <v>0</v>
      </c>
      <c r="AC54" s="23">
        <v>12</v>
      </c>
      <c r="AD54" s="24">
        <v>0</v>
      </c>
      <c r="AE54" s="23">
        <v>12</v>
      </c>
      <c r="AF54" s="24">
        <v>0</v>
      </c>
      <c r="AG54" s="23">
        <v>12</v>
      </c>
      <c r="AH54" s="24">
        <v>0</v>
      </c>
      <c r="AI54" s="23">
        <v>12</v>
      </c>
      <c r="AJ54" s="24">
        <v>0</v>
      </c>
      <c r="AK54" s="23">
        <v>12</v>
      </c>
      <c r="AL54" s="24">
        <v>0</v>
      </c>
      <c r="AM54" s="23">
        <v>12</v>
      </c>
      <c r="AN54" s="24">
        <v>0</v>
      </c>
      <c r="AO54" s="23">
        <v>12</v>
      </c>
      <c r="AP54" s="24">
        <v>0</v>
      </c>
      <c r="AQ54" s="23">
        <v>12</v>
      </c>
      <c r="AR54" s="24">
        <v>0</v>
      </c>
      <c r="AS54" s="20">
        <v>12</v>
      </c>
      <c r="AT54" s="19">
        <v>91</v>
      </c>
      <c r="AU54" s="23">
        <v>103</v>
      </c>
      <c r="AV54" s="24">
        <v>39</v>
      </c>
      <c r="AW54" s="23">
        <v>58</v>
      </c>
      <c r="AX54" s="24">
        <v>39</v>
      </c>
      <c r="AY54" s="23">
        <v>58</v>
      </c>
      <c r="AZ54" s="24">
        <v>0</v>
      </c>
      <c r="BA54" s="23">
        <v>12</v>
      </c>
      <c r="BB54" s="24">
        <v>52</v>
      </c>
      <c r="BC54" s="23">
        <v>59</v>
      </c>
      <c r="BD54" s="24">
        <v>52</v>
      </c>
      <c r="BE54" s="23">
        <v>59</v>
      </c>
      <c r="BF54" s="24">
        <v>0</v>
      </c>
      <c r="BG54" s="23">
        <v>12</v>
      </c>
      <c r="BH54" s="24">
        <v>0</v>
      </c>
      <c r="BI54" s="23">
        <v>12</v>
      </c>
      <c r="BJ54" s="24">
        <v>0</v>
      </c>
      <c r="BK54" s="23">
        <v>12</v>
      </c>
      <c r="BL54" s="24">
        <v>0</v>
      </c>
      <c r="BM54" s="20">
        <v>12</v>
      </c>
      <c r="BN54" s="19">
        <v>132</v>
      </c>
      <c r="BO54" s="23">
        <v>110</v>
      </c>
      <c r="BP54" s="24">
        <v>0</v>
      </c>
      <c r="BQ54" s="23">
        <v>12</v>
      </c>
      <c r="BR54" s="24">
        <v>0</v>
      </c>
      <c r="BS54" s="23">
        <v>12</v>
      </c>
      <c r="BT54" s="26">
        <v>0</v>
      </c>
      <c r="BU54" s="23">
        <v>12</v>
      </c>
      <c r="BV54" s="24">
        <v>93</v>
      </c>
      <c r="BW54" s="23">
        <v>98</v>
      </c>
      <c r="BX54" s="24">
        <v>93</v>
      </c>
      <c r="BY54" s="23">
        <v>98</v>
      </c>
      <c r="BZ54" s="24">
        <v>0</v>
      </c>
      <c r="CA54" s="23">
        <v>12</v>
      </c>
      <c r="CB54" s="24">
        <v>39</v>
      </c>
      <c r="CC54" s="23">
        <v>47</v>
      </c>
      <c r="CD54" s="24">
        <v>39</v>
      </c>
      <c r="CE54" s="23">
        <v>47</v>
      </c>
      <c r="CF54" s="24">
        <v>0</v>
      </c>
      <c r="CG54" s="20">
        <v>12</v>
      </c>
    </row>
    <row r="55" spans="1:85" x14ac:dyDescent="0.3">
      <c r="A55" t="s">
        <v>109</v>
      </c>
      <c r="B55">
        <v>20688</v>
      </c>
      <c r="C55" t="s">
        <v>110</v>
      </c>
      <c r="D55" s="19">
        <v>1642</v>
      </c>
      <c r="E55" s="20">
        <v>306</v>
      </c>
      <c r="F55" s="19">
        <v>148</v>
      </c>
      <c r="G55" s="23">
        <v>135</v>
      </c>
      <c r="H55" s="24">
        <v>27</v>
      </c>
      <c r="I55" s="23">
        <v>52</v>
      </c>
      <c r="J55" s="24">
        <v>27</v>
      </c>
      <c r="K55" s="23">
        <v>52</v>
      </c>
      <c r="L55" s="24">
        <v>0</v>
      </c>
      <c r="M55" s="23">
        <v>24</v>
      </c>
      <c r="N55" s="24">
        <v>47</v>
      </c>
      <c r="O55" s="23">
        <v>62</v>
      </c>
      <c r="P55" s="24">
        <v>47</v>
      </c>
      <c r="Q55" s="23">
        <v>62</v>
      </c>
      <c r="R55" s="24">
        <v>0</v>
      </c>
      <c r="S55" s="23">
        <v>24</v>
      </c>
      <c r="T55" s="24">
        <v>74</v>
      </c>
      <c r="U55" s="23">
        <v>90</v>
      </c>
      <c r="V55" s="24">
        <v>74</v>
      </c>
      <c r="W55" s="23">
        <v>90</v>
      </c>
      <c r="X55" s="24">
        <v>0</v>
      </c>
      <c r="Y55" s="20">
        <v>24</v>
      </c>
      <c r="Z55" s="19">
        <v>13</v>
      </c>
      <c r="AA55" s="23">
        <v>20</v>
      </c>
      <c r="AB55" s="24">
        <v>0</v>
      </c>
      <c r="AC55" s="23">
        <v>12</v>
      </c>
      <c r="AD55" s="24">
        <v>0</v>
      </c>
      <c r="AE55" s="23">
        <v>12</v>
      </c>
      <c r="AF55" s="24">
        <v>0</v>
      </c>
      <c r="AG55" s="23">
        <v>12</v>
      </c>
      <c r="AH55" s="24">
        <v>0</v>
      </c>
      <c r="AI55" s="23">
        <v>12</v>
      </c>
      <c r="AJ55" s="24">
        <v>0</v>
      </c>
      <c r="AK55" s="23">
        <v>12</v>
      </c>
      <c r="AL55" s="24">
        <v>0</v>
      </c>
      <c r="AM55" s="23">
        <v>12</v>
      </c>
      <c r="AN55" s="24">
        <v>13</v>
      </c>
      <c r="AO55" s="23">
        <v>20</v>
      </c>
      <c r="AP55" s="24">
        <v>13</v>
      </c>
      <c r="AQ55" s="23">
        <v>20</v>
      </c>
      <c r="AR55" s="24">
        <v>0</v>
      </c>
      <c r="AS55" s="20">
        <v>12</v>
      </c>
      <c r="AT55" s="19">
        <v>456</v>
      </c>
      <c r="AU55" s="23">
        <v>183</v>
      </c>
      <c r="AV55" s="24">
        <v>33</v>
      </c>
      <c r="AW55" s="23">
        <v>39</v>
      </c>
      <c r="AX55" s="24">
        <v>33</v>
      </c>
      <c r="AY55" s="23">
        <v>39</v>
      </c>
      <c r="AZ55" s="24">
        <v>0</v>
      </c>
      <c r="BA55" s="23">
        <v>12</v>
      </c>
      <c r="BB55" s="24">
        <v>113</v>
      </c>
      <c r="BC55" s="23">
        <v>94</v>
      </c>
      <c r="BD55" s="24">
        <v>113</v>
      </c>
      <c r="BE55" s="23">
        <v>94</v>
      </c>
      <c r="BF55" s="24">
        <v>0</v>
      </c>
      <c r="BG55" s="23">
        <v>12</v>
      </c>
      <c r="BH55" s="24">
        <v>310</v>
      </c>
      <c r="BI55" s="23">
        <v>130</v>
      </c>
      <c r="BJ55" s="24">
        <v>310</v>
      </c>
      <c r="BK55" s="23">
        <v>130</v>
      </c>
      <c r="BL55" s="24">
        <v>0</v>
      </c>
      <c r="BM55" s="20">
        <v>12</v>
      </c>
      <c r="BN55" s="19">
        <v>1025</v>
      </c>
      <c r="BO55" s="23">
        <v>271</v>
      </c>
      <c r="BP55" s="24">
        <v>49</v>
      </c>
      <c r="BQ55" s="23">
        <v>65</v>
      </c>
      <c r="BR55" s="24">
        <v>49</v>
      </c>
      <c r="BS55" s="23">
        <v>65</v>
      </c>
      <c r="BT55" s="26">
        <v>0</v>
      </c>
      <c r="BU55" s="23">
        <v>12</v>
      </c>
      <c r="BV55" s="24">
        <v>407</v>
      </c>
      <c r="BW55" s="23">
        <v>230</v>
      </c>
      <c r="BX55" s="24">
        <v>407</v>
      </c>
      <c r="BY55" s="23">
        <v>230</v>
      </c>
      <c r="BZ55" s="24">
        <v>0</v>
      </c>
      <c r="CA55" s="23">
        <v>12</v>
      </c>
      <c r="CB55" s="24">
        <v>569</v>
      </c>
      <c r="CC55" s="23">
        <v>152</v>
      </c>
      <c r="CD55" s="24">
        <v>569</v>
      </c>
      <c r="CE55" s="23">
        <v>152</v>
      </c>
      <c r="CF55" s="24">
        <v>0</v>
      </c>
      <c r="CG55" s="20">
        <v>12</v>
      </c>
    </row>
    <row r="56" spans="1:85" x14ac:dyDescent="0.3">
      <c r="A56" t="s">
        <v>111</v>
      </c>
      <c r="B56">
        <v>20689</v>
      </c>
      <c r="C56" t="s">
        <v>112</v>
      </c>
      <c r="D56" s="19">
        <v>2120</v>
      </c>
      <c r="E56" s="20">
        <v>396</v>
      </c>
      <c r="F56" s="19">
        <v>199</v>
      </c>
      <c r="G56" s="23">
        <v>169</v>
      </c>
      <c r="H56" s="24">
        <v>9</v>
      </c>
      <c r="I56" s="23">
        <v>25</v>
      </c>
      <c r="J56" s="24">
        <v>9</v>
      </c>
      <c r="K56" s="23">
        <v>25</v>
      </c>
      <c r="L56" s="24">
        <v>0</v>
      </c>
      <c r="M56" s="23">
        <v>24</v>
      </c>
      <c r="N56" s="24">
        <v>91</v>
      </c>
      <c r="O56" s="23">
        <v>112</v>
      </c>
      <c r="P56" s="24">
        <v>91</v>
      </c>
      <c r="Q56" s="23">
        <v>112</v>
      </c>
      <c r="R56" s="24">
        <v>0</v>
      </c>
      <c r="S56" s="23">
        <v>24</v>
      </c>
      <c r="T56" s="24">
        <v>99</v>
      </c>
      <c r="U56" s="23">
        <v>86</v>
      </c>
      <c r="V56" s="24">
        <v>99</v>
      </c>
      <c r="W56" s="23">
        <v>86</v>
      </c>
      <c r="X56" s="24">
        <v>0</v>
      </c>
      <c r="Y56" s="20">
        <v>24</v>
      </c>
      <c r="Z56" s="19">
        <v>26</v>
      </c>
      <c r="AA56" s="23">
        <v>32</v>
      </c>
      <c r="AB56" s="24">
        <v>0</v>
      </c>
      <c r="AC56" s="23">
        <v>12</v>
      </c>
      <c r="AD56" s="24">
        <v>0</v>
      </c>
      <c r="AE56" s="23">
        <v>12</v>
      </c>
      <c r="AF56" s="24">
        <v>0</v>
      </c>
      <c r="AG56" s="23">
        <v>12</v>
      </c>
      <c r="AH56" s="24">
        <v>21</v>
      </c>
      <c r="AI56" s="23">
        <v>31</v>
      </c>
      <c r="AJ56" s="24">
        <v>21</v>
      </c>
      <c r="AK56" s="23">
        <v>31</v>
      </c>
      <c r="AL56" s="24">
        <v>0</v>
      </c>
      <c r="AM56" s="23">
        <v>12</v>
      </c>
      <c r="AN56" s="24">
        <v>5</v>
      </c>
      <c r="AO56" s="23">
        <v>9</v>
      </c>
      <c r="AP56" s="24">
        <v>5</v>
      </c>
      <c r="AQ56" s="23">
        <v>9</v>
      </c>
      <c r="AR56" s="24">
        <v>0</v>
      </c>
      <c r="AS56" s="20">
        <v>12</v>
      </c>
      <c r="AT56" s="19">
        <v>713</v>
      </c>
      <c r="AU56" s="23">
        <v>294</v>
      </c>
      <c r="AV56" s="24">
        <v>221</v>
      </c>
      <c r="AW56" s="23">
        <v>114</v>
      </c>
      <c r="AX56" s="24">
        <v>221</v>
      </c>
      <c r="AY56" s="23">
        <v>114</v>
      </c>
      <c r="AZ56" s="24">
        <v>0</v>
      </c>
      <c r="BA56" s="23">
        <v>12</v>
      </c>
      <c r="BB56" s="24">
        <v>313</v>
      </c>
      <c r="BC56" s="23">
        <v>134</v>
      </c>
      <c r="BD56" s="24">
        <v>313</v>
      </c>
      <c r="BE56" s="23">
        <v>134</v>
      </c>
      <c r="BF56" s="24">
        <v>0</v>
      </c>
      <c r="BG56" s="23">
        <v>12</v>
      </c>
      <c r="BH56" s="24">
        <v>179</v>
      </c>
      <c r="BI56" s="23">
        <v>143</v>
      </c>
      <c r="BJ56" s="24">
        <v>179</v>
      </c>
      <c r="BK56" s="23">
        <v>143</v>
      </c>
      <c r="BL56" s="24">
        <v>0</v>
      </c>
      <c r="BM56" s="20">
        <v>12</v>
      </c>
      <c r="BN56" s="19">
        <v>1182</v>
      </c>
      <c r="BO56" s="23">
        <v>297</v>
      </c>
      <c r="BP56" s="24">
        <v>283</v>
      </c>
      <c r="BQ56" s="23">
        <v>101</v>
      </c>
      <c r="BR56" s="24">
        <v>283</v>
      </c>
      <c r="BS56" s="23">
        <v>101</v>
      </c>
      <c r="BT56" s="26">
        <v>0</v>
      </c>
      <c r="BU56" s="23">
        <v>12</v>
      </c>
      <c r="BV56" s="24">
        <v>751</v>
      </c>
      <c r="BW56" s="23">
        <v>190</v>
      </c>
      <c r="BX56" s="24">
        <v>751</v>
      </c>
      <c r="BY56" s="23">
        <v>190</v>
      </c>
      <c r="BZ56" s="24">
        <v>0</v>
      </c>
      <c r="CA56" s="23">
        <v>12</v>
      </c>
      <c r="CB56" s="24">
        <v>148</v>
      </c>
      <c r="CC56" s="23">
        <v>71</v>
      </c>
      <c r="CD56" s="24">
        <v>148</v>
      </c>
      <c r="CE56" s="23">
        <v>71</v>
      </c>
      <c r="CF56" s="24">
        <v>0</v>
      </c>
      <c r="CG56" s="20">
        <v>12</v>
      </c>
    </row>
    <row r="57" spans="1:85" x14ac:dyDescent="0.3">
      <c r="A57" t="s">
        <v>113</v>
      </c>
      <c r="B57">
        <v>20690</v>
      </c>
      <c r="C57" t="s">
        <v>114</v>
      </c>
      <c r="D57" s="19">
        <v>897</v>
      </c>
      <c r="E57" s="20">
        <v>288</v>
      </c>
      <c r="F57" s="19">
        <v>58</v>
      </c>
      <c r="G57" s="23">
        <v>107</v>
      </c>
      <c r="H57" s="24">
        <v>19</v>
      </c>
      <c r="I57" s="23">
        <v>43</v>
      </c>
      <c r="J57" s="24">
        <v>19</v>
      </c>
      <c r="K57" s="23">
        <v>43</v>
      </c>
      <c r="L57" s="24">
        <v>0</v>
      </c>
      <c r="M57" s="23">
        <v>24</v>
      </c>
      <c r="N57" s="24">
        <v>39</v>
      </c>
      <c r="O57" s="23">
        <v>76</v>
      </c>
      <c r="P57" s="24">
        <v>39</v>
      </c>
      <c r="Q57" s="23">
        <v>76</v>
      </c>
      <c r="R57" s="24">
        <v>0</v>
      </c>
      <c r="S57" s="23">
        <v>24</v>
      </c>
      <c r="T57" s="24">
        <v>0</v>
      </c>
      <c r="U57" s="23">
        <v>24</v>
      </c>
      <c r="V57" s="24">
        <v>0</v>
      </c>
      <c r="W57" s="23">
        <v>24</v>
      </c>
      <c r="X57" s="24">
        <v>0</v>
      </c>
      <c r="Y57" s="20">
        <v>24</v>
      </c>
      <c r="Z57" s="19">
        <v>0</v>
      </c>
      <c r="AA57" s="23">
        <v>12</v>
      </c>
      <c r="AB57" s="24">
        <v>0</v>
      </c>
      <c r="AC57" s="23">
        <v>12</v>
      </c>
      <c r="AD57" s="24">
        <v>0</v>
      </c>
      <c r="AE57" s="23">
        <v>12</v>
      </c>
      <c r="AF57" s="24">
        <v>0</v>
      </c>
      <c r="AG57" s="23">
        <v>12</v>
      </c>
      <c r="AH57" s="24">
        <v>0</v>
      </c>
      <c r="AI57" s="23">
        <v>12</v>
      </c>
      <c r="AJ57" s="24">
        <v>0</v>
      </c>
      <c r="AK57" s="23">
        <v>12</v>
      </c>
      <c r="AL57" s="24">
        <v>0</v>
      </c>
      <c r="AM57" s="23">
        <v>12</v>
      </c>
      <c r="AN57" s="24">
        <v>0</v>
      </c>
      <c r="AO57" s="23">
        <v>12</v>
      </c>
      <c r="AP57" s="24">
        <v>0</v>
      </c>
      <c r="AQ57" s="23">
        <v>12</v>
      </c>
      <c r="AR57" s="24">
        <v>0</v>
      </c>
      <c r="AS57" s="20">
        <v>12</v>
      </c>
      <c r="AT57" s="19">
        <v>328</v>
      </c>
      <c r="AU57" s="23">
        <v>268</v>
      </c>
      <c r="AV57" s="24">
        <v>113</v>
      </c>
      <c r="AW57" s="23">
        <v>135</v>
      </c>
      <c r="AX57" s="24">
        <v>113</v>
      </c>
      <c r="AY57" s="23">
        <v>135</v>
      </c>
      <c r="AZ57" s="24">
        <v>0</v>
      </c>
      <c r="BA57" s="23">
        <v>12</v>
      </c>
      <c r="BB57" s="24">
        <v>150</v>
      </c>
      <c r="BC57" s="23">
        <v>116</v>
      </c>
      <c r="BD57" s="24">
        <v>150</v>
      </c>
      <c r="BE57" s="23">
        <v>116</v>
      </c>
      <c r="BF57" s="24">
        <v>0</v>
      </c>
      <c r="BG57" s="23">
        <v>12</v>
      </c>
      <c r="BH57" s="24">
        <v>65</v>
      </c>
      <c r="BI57" s="23">
        <v>58</v>
      </c>
      <c r="BJ57" s="24">
        <v>65</v>
      </c>
      <c r="BK57" s="23">
        <v>58</v>
      </c>
      <c r="BL57" s="24">
        <v>0</v>
      </c>
      <c r="BM57" s="20">
        <v>12</v>
      </c>
      <c r="BN57" s="19">
        <v>511</v>
      </c>
      <c r="BO57" s="23">
        <v>206</v>
      </c>
      <c r="BP57" s="24">
        <v>62</v>
      </c>
      <c r="BQ57" s="23">
        <v>64</v>
      </c>
      <c r="BR57" s="24">
        <v>62</v>
      </c>
      <c r="BS57" s="23">
        <v>64</v>
      </c>
      <c r="BT57" s="26">
        <v>0</v>
      </c>
      <c r="BU57" s="23">
        <v>12</v>
      </c>
      <c r="BV57" s="24">
        <v>300</v>
      </c>
      <c r="BW57" s="23">
        <v>153</v>
      </c>
      <c r="BX57" s="24">
        <v>300</v>
      </c>
      <c r="BY57" s="23">
        <v>153</v>
      </c>
      <c r="BZ57" s="24">
        <v>0</v>
      </c>
      <c r="CA57" s="23">
        <v>12</v>
      </c>
      <c r="CB57" s="24">
        <v>149</v>
      </c>
      <c r="CC57" s="23">
        <v>128</v>
      </c>
      <c r="CD57" s="24">
        <v>149</v>
      </c>
      <c r="CE57" s="23">
        <v>128</v>
      </c>
      <c r="CF57" s="24">
        <v>0</v>
      </c>
      <c r="CG57" s="20">
        <v>12</v>
      </c>
    </row>
    <row r="58" spans="1:85" x14ac:dyDescent="0.3">
      <c r="A58" t="s">
        <v>115</v>
      </c>
      <c r="B58">
        <v>20692</v>
      </c>
      <c r="C58" t="s">
        <v>116</v>
      </c>
      <c r="D58" s="19">
        <v>1177</v>
      </c>
      <c r="E58" s="20">
        <v>370</v>
      </c>
      <c r="F58" s="19">
        <v>84</v>
      </c>
      <c r="G58" s="23">
        <v>71</v>
      </c>
      <c r="H58" s="24">
        <v>0</v>
      </c>
      <c r="I58" s="23">
        <v>24</v>
      </c>
      <c r="J58" s="24">
        <v>0</v>
      </c>
      <c r="K58" s="23">
        <v>24</v>
      </c>
      <c r="L58" s="24">
        <v>0</v>
      </c>
      <c r="M58" s="23">
        <v>24</v>
      </c>
      <c r="N58" s="24">
        <v>4</v>
      </c>
      <c r="O58" s="23">
        <v>21</v>
      </c>
      <c r="P58" s="24">
        <v>4</v>
      </c>
      <c r="Q58" s="23">
        <v>21</v>
      </c>
      <c r="R58" s="24">
        <v>0</v>
      </c>
      <c r="S58" s="23">
        <v>24</v>
      </c>
      <c r="T58" s="24">
        <v>80</v>
      </c>
      <c r="U58" s="23">
        <v>75</v>
      </c>
      <c r="V58" s="24">
        <v>80</v>
      </c>
      <c r="W58" s="23">
        <v>75</v>
      </c>
      <c r="X58" s="24">
        <v>0</v>
      </c>
      <c r="Y58" s="20">
        <v>24</v>
      </c>
      <c r="Z58" s="19">
        <v>72</v>
      </c>
      <c r="AA58" s="23">
        <v>88</v>
      </c>
      <c r="AB58" s="24">
        <v>0</v>
      </c>
      <c r="AC58" s="23">
        <v>12</v>
      </c>
      <c r="AD58" s="24">
        <v>0</v>
      </c>
      <c r="AE58" s="23">
        <v>12</v>
      </c>
      <c r="AF58" s="24">
        <v>0</v>
      </c>
      <c r="AG58" s="23">
        <v>12</v>
      </c>
      <c r="AH58" s="24">
        <v>56</v>
      </c>
      <c r="AI58" s="23">
        <v>84</v>
      </c>
      <c r="AJ58" s="24">
        <v>56</v>
      </c>
      <c r="AK58" s="23">
        <v>84</v>
      </c>
      <c r="AL58" s="24">
        <v>0</v>
      </c>
      <c r="AM58" s="23">
        <v>12</v>
      </c>
      <c r="AN58" s="24">
        <v>16</v>
      </c>
      <c r="AO58" s="23">
        <v>25</v>
      </c>
      <c r="AP58" s="24">
        <v>16</v>
      </c>
      <c r="AQ58" s="23">
        <v>25</v>
      </c>
      <c r="AR58" s="24">
        <v>0</v>
      </c>
      <c r="AS58" s="20">
        <v>12</v>
      </c>
      <c r="AT58" s="19">
        <v>534</v>
      </c>
      <c r="AU58" s="23">
        <v>322</v>
      </c>
      <c r="AV58" s="24">
        <v>88</v>
      </c>
      <c r="AW58" s="23">
        <v>74</v>
      </c>
      <c r="AX58" s="24">
        <v>88</v>
      </c>
      <c r="AY58" s="23">
        <v>74</v>
      </c>
      <c r="AZ58" s="24">
        <v>0</v>
      </c>
      <c r="BA58" s="23">
        <v>12</v>
      </c>
      <c r="BB58" s="24">
        <v>410</v>
      </c>
      <c r="BC58" s="23">
        <v>268</v>
      </c>
      <c r="BD58" s="24">
        <v>410</v>
      </c>
      <c r="BE58" s="23">
        <v>268</v>
      </c>
      <c r="BF58" s="24">
        <v>0</v>
      </c>
      <c r="BG58" s="23">
        <v>12</v>
      </c>
      <c r="BH58" s="24">
        <v>36</v>
      </c>
      <c r="BI58" s="23">
        <v>55</v>
      </c>
      <c r="BJ58" s="24">
        <v>36</v>
      </c>
      <c r="BK58" s="23">
        <v>55</v>
      </c>
      <c r="BL58" s="24">
        <v>0</v>
      </c>
      <c r="BM58" s="20">
        <v>12</v>
      </c>
      <c r="BN58" s="19">
        <v>487</v>
      </c>
      <c r="BO58" s="23">
        <v>149</v>
      </c>
      <c r="BP58" s="24">
        <v>124</v>
      </c>
      <c r="BQ58" s="23">
        <v>75</v>
      </c>
      <c r="BR58" s="24">
        <v>124</v>
      </c>
      <c r="BS58" s="23">
        <v>75</v>
      </c>
      <c r="BT58" s="26">
        <v>0</v>
      </c>
      <c r="BU58" s="23">
        <v>12</v>
      </c>
      <c r="BV58" s="24">
        <v>345</v>
      </c>
      <c r="BW58" s="23">
        <v>100</v>
      </c>
      <c r="BX58" s="24">
        <v>330</v>
      </c>
      <c r="BY58" s="23">
        <v>88</v>
      </c>
      <c r="BZ58" s="24">
        <v>15</v>
      </c>
      <c r="CA58" s="23">
        <v>25</v>
      </c>
      <c r="CB58" s="24">
        <v>18</v>
      </c>
      <c r="CC58" s="23">
        <v>28</v>
      </c>
      <c r="CD58" s="24">
        <v>18</v>
      </c>
      <c r="CE58" s="23">
        <v>28</v>
      </c>
      <c r="CF58" s="24">
        <v>0</v>
      </c>
      <c r="CG58" s="20">
        <v>12</v>
      </c>
    </row>
    <row r="59" spans="1:85" x14ac:dyDescent="0.3">
      <c r="A59" t="s">
        <v>117</v>
      </c>
      <c r="B59">
        <v>20693</v>
      </c>
      <c r="C59" t="s">
        <v>118</v>
      </c>
      <c r="D59" s="19">
        <v>1006</v>
      </c>
      <c r="E59" s="20">
        <v>218</v>
      </c>
      <c r="F59" s="19">
        <v>40</v>
      </c>
      <c r="G59" s="23">
        <v>76</v>
      </c>
      <c r="H59" s="24">
        <v>20</v>
      </c>
      <c r="I59" s="23">
        <v>44</v>
      </c>
      <c r="J59" s="24">
        <v>20</v>
      </c>
      <c r="K59" s="23">
        <v>44</v>
      </c>
      <c r="L59" s="24">
        <v>0</v>
      </c>
      <c r="M59" s="23">
        <v>24</v>
      </c>
      <c r="N59" s="24">
        <v>20</v>
      </c>
      <c r="O59" s="23">
        <v>44</v>
      </c>
      <c r="P59" s="24">
        <v>20</v>
      </c>
      <c r="Q59" s="23">
        <v>44</v>
      </c>
      <c r="R59" s="24">
        <v>0</v>
      </c>
      <c r="S59" s="23">
        <v>24</v>
      </c>
      <c r="T59" s="24">
        <v>0</v>
      </c>
      <c r="U59" s="23">
        <v>24</v>
      </c>
      <c r="V59" s="24">
        <v>0</v>
      </c>
      <c r="W59" s="23">
        <v>24</v>
      </c>
      <c r="X59" s="24">
        <v>0</v>
      </c>
      <c r="Y59" s="20">
        <v>24</v>
      </c>
      <c r="Z59" s="19">
        <v>25</v>
      </c>
      <c r="AA59" s="23">
        <v>37</v>
      </c>
      <c r="AB59" s="24">
        <v>0</v>
      </c>
      <c r="AC59" s="23">
        <v>12</v>
      </c>
      <c r="AD59" s="24">
        <v>0</v>
      </c>
      <c r="AE59" s="23">
        <v>12</v>
      </c>
      <c r="AF59" s="24">
        <v>0</v>
      </c>
      <c r="AG59" s="23">
        <v>12</v>
      </c>
      <c r="AH59" s="24">
        <v>14</v>
      </c>
      <c r="AI59" s="23">
        <v>21</v>
      </c>
      <c r="AJ59" s="24">
        <v>14</v>
      </c>
      <c r="AK59" s="23">
        <v>21</v>
      </c>
      <c r="AL59" s="24">
        <v>0</v>
      </c>
      <c r="AM59" s="23">
        <v>12</v>
      </c>
      <c r="AN59" s="24">
        <v>11</v>
      </c>
      <c r="AO59" s="23">
        <v>16</v>
      </c>
      <c r="AP59" s="24">
        <v>11</v>
      </c>
      <c r="AQ59" s="23">
        <v>16</v>
      </c>
      <c r="AR59" s="24">
        <v>0</v>
      </c>
      <c r="AS59" s="20">
        <v>12</v>
      </c>
      <c r="AT59" s="19">
        <v>181</v>
      </c>
      <c r="AU59" s="23">
        <v>136</v>
      </c>
      <c r="AV59" s="24">
        <v>62</v>
      </c>
      <c r="AW59" s="23">
        <v>88</v>
      </c>
      <c r="AX59" s="24">
        <v>62</v>
      </c>
      <c r="AY59" s="23">
        <v>88</v>
      </c>
      <c r="AZ59" s="24">
        <v>0</v>
      </c>
      <c r="BA59" s="23">
        <v>12</v>
      </c>
      <c r="BB59" s="24">
        <v>59</v>
      </c>
      <c r="BC59" s="23">
        <v>50</v>
      </c>
      <c r="BD59" s="24">
        <v>59</v>
      </c>
      <c r="BE59" s="23">
        <v>50</v>
      </c>
      <c r="BF59" s="24">
        <v>0</v>
      </c>
      <c r="BG59" s="23">
        <v>12</v>
      </c>
      <c r="BH59" s="24">
        <v>60</v>
      </c>
      <c r="BI59" s="23">
        <v>55</v>
      </c>
      <c r="BJ59" s="24">
        <v>60</v>
      </c>
      <c r="BK59" s="23">
        <v>55</v>
      </c>
      <c r="BL59" s="24">
        <v>0</v>
      </c>
      <c r="BM59" s="20">
        <v>12</v>
      </c>
      <c r="BN59" s="19">
        <v>760</v>
      </c>
      <c r="BO59" s="23">
        <v>194</v>
      </c>
      <c r="BP59" s="24">
        <v>87</v>
      </c>
      <c r="BQ59" s="23">
        <v>63</v>
      </c>
      <c r="BR59" s="24">
        <v>87</v>
      </c>
      <c r="BS59" s="23">
        <v>63</v>
      </c>
      <c r="BT59" s="26">
        <v>0</v>
      </c>
      <c r="BU59" s="23">
        <v>12</v>
      </c>
      <c r="BV59" s="24">
        <v>585</v>
      </c>
      <c r="BW59" s="23">
        <v>174</v>
      </c>
      <c r="BX59" s="24">
        <v>574</v>
      </c>
      <c r="BY59" s="23">
        <v>169</v>
      </c>
      <c r="BZ59" s="24">
        <v>11</v>
      </c>
      <c r="CA59" s="23">
        <v>16</v>
      </c>
      <c r="CB59" s="24">
        <v>88</v>
      </c>
      <c r="CC59" s="23">
        <v>55</v>
      </c>
      <c r="CD59" s="24">
        <v>88</v>
      </c>
      <c r="CE59" s="23">
        <v>55</v>
      </c>
      <c r="CF59" s="24">
        <v>0</v>
      </c>
      <c r="CG59" s="20">
        <v>12</v>
      </c>
    </row>
    <row r="60" spans="1:85" x14ac:dyDescent="0.3">
      <c r="A60" t="s">
        <v>119</v>
      </c>
      <c r="B60">
        <v>20695</v>
      </c>
      <c r="C60" t="s">
        <v>120</v>
      </c>
      <c r="D60" s="19">
        <v>7800</v>
      </c>
      <c r="E60" s="20">
        <v>752</v>
      </c>
      <c r="F60" s="19">
        <v>584</v>
      </c>
      <c r="G60" s="23">
        <v>446</v>
      </c>
      <c r="H60" s="24">
        <v>196</v>
      </c>
      <c r="I60" s="23">
        <v>229</v>
      </c>
      <c r="J60" s="24">
        <v>196</v>
      </c>
      <c r="K60" s="23">
        <v>229</v>
      </c>
      <c r="L60" s="24">
        <v>0</v>
      </c>
      <c r="M60" s="23">
        <v>34</v>
      </c>
      <c r="N60" s="24">
        <v>288</v>
      </c>
      <c r="O60" s="23">
        <v>194</v>
      </c>
      <c r="P60" s="24">
        <v>288</v>
      </c>
      <c r="Q60" s="23">
        <v>194</v>
      </c>
      <c r="R60" s="24">
        <v>0</v>
      </c>
      <c r="S60" s="23">
        <v>34</v>
      </c>
      <c r="T60" s="24">
        <v>100</v>
      </c>
      <c r="U60" s="23">
        <v>85</v>
      </c>
      <c r="V60" s="24">
        <v>100</v>
      </c>
      <c r="W60" s="23">
        <v>85</v>
      </c>
      <c r="X60" s="24">
        <v>0</v>
      </c>
      <c r="Y60" s="20">
        <v>34</v>
      </c>
      <c r="Z60" s="19">
        <v>274</v>
      </c>
      <c r="AA60" s="23">
        <v>132</v>
      </c>
      <c r="AB60" s="24">
        <v>50</v>
      </c>
      <c r="AC60" s="23">
        <v>59</v>
      </c>
      <c r="AD60" s="24">
        <v>50</v>
      </c>
      <c r="AE60" s="23">
        <v>59</v>
      </c>
      <c r="AF60" s="24">
        <v>0</v>
      </c>
      <c r="AG60" s="23">
        <v>17</v>
      </c>
      <c r="AH60" s="24">
        <v>115</v>
      </c>
      <c r="AI60" s="23">
        <v>78</v>
      </c>
      <c r="AJ60" s="24">
        <v>115</v>
      </c>
      <c r="AK60" s="23">
        <v>78</v>
      </c>
      <c r="AL60" s="24">
        <v>0</v>
      </c>
      <c r="AM60" s="23">
        <v>17</v>
      </c>
      <c r="AN60" s="24">
        <v>109</v>
      </c>
      <c r="AO60" s="23">
        <v>82</v>
      </c>
      <c r="AP60" s="24">
        <v>109</v>
      </c>
      <c r="AQ60" s="23">
        <v>82</v>
      </c>
      <c r="AR60" s="24">
        <v>0</v>
      </c>
      <c r="AS60" s="20">
        <v>17</v>
      </c>
      <c r="AT60" s="19">
        <v>1448</v>
      </c>
      <c r="AU60" s="23">
        <v>485</v>
      </c>
      <c r="AV60" s="24">
        <v>383</v>
      </c>
      <c r="AW60" s="23">
        <v>188</v>
      </c>
      <c r="AX60" s="24">
        <v>383</v>
      </c>
      <c r="AY60" s="23">
        <v>188</v>
      </c>
      <c r="AZ60" s="24">
        <v>0</v>
      </c>
      <c r="BA60" s="23">
        <v>17</v>
      </c>
      <c r="BB60" s="24">
        <v>691</v>
      </c>
      <c r="BC60" s="23">
        <v>278</v>
      </c>
      <c r="BD60" s="24">
        <v>657</v>
      </c>
      <c r="BE60" s="23">
        <v>271</v>
      </c>
      <c r="BF60" s="24">
        <v>34</v>
      </c>
      <c r="BG60" s="23">
        <v>45</v>
      </c>
      <c r="BH60" s="24">
        <v>374</v>
      </c>
      <c r="BI60" s="23">
        <v>210</v>
      </c>
      <c r="BJ60" s="24">
        <v>374</v>
      </c>
      <c r="BK60" s="23">
        <v>210</v>
      </c>
      <c r="BL60" s="24">
        <v>0</v>
      </c>
      <c r="BM60" s="20">
        <v>17</v>
      </c>
      <c r="BN60" s="19">
        <v>5494</v>
      </c>
      <c r="BO60" s="23">
        <v>727</v>
      </c>
      <c r="BP60" s="24">
        <v>1158</v>
      </c>
      <c r="BQ60" s="23">
        <v>301</v>
      </c>
      <c r="BR60" s="24">
        <v>1033</v>
      </c>
      <c r="BS60" s="23">
        <v>276</v>
      </c>
      <c r="BT60" s="26">
        <v>125</v>
      </c>
      <c r="BU60" s="23">
        <v>137</v>
      </c>
      <c r="BV60" s="24">
        <v>3526</v>
      </c>
      <c r="BW60" s="23">
        <v>561</v>
      </c>
      <c r="BX60" s="24">
        <v>3492</v>
      </c>
      <c r="BY60" s="23">
        <v>545</v>
      </c>
      <c r="BZ60" s="24">
        <v>34</v>
      </c>
      <c r="CA60" s="23">
        <v>39</v>
      </c>
      <c r="CB60" s="24">
        <v>810</v>
      </c>
      <c r="CC60" s="23">
        <v>194</v>
      </c>
      <c r="CD60" s="24">
        <v>810</v>
      </c>
      <c r="CE60" s="23">
        <v>194</v>
      </c>
      <c r="CF60" s="24">
        <v>0</v>
      </c>
      <c r="CG60" s="20">
        <v>17</v>
      </c>
    </row>
    <row r="61" spans="1:85" x14ac:dyDescent="0.3">
      <c r="A61" t="s">
        <v>121</v>
      </c>
      <c r="B61">
        <v>20701</v>
      </c>
      <c r="C61" t="s">
        <v>122</v>
      </c>
      <c r="D61" s="19">
        <v>0</v>
      </c>
      <c r="E61" s="20">
        <v>12</v>
      </c>
      <c r="F61" s="19">
        <v>0</v>
      </c>
      <c r="G61" s="23">
        <v>24</v>
      </c>
      <c r="H61" s="24">
        <v>0</v>
      </c>
      <c r="I61" s="23">
        <v>24</v>
      </c>
      <c r="J61" s="24">
        <v>0</v>
      </c>
      <c r="K61" s="23">
        <v>24</v>
      </c>
      <c r="L61" s="24">
        <v>0</v>
      </c>
      <c r="M61" s="23">
        <v>24</v>
      </c>
      <c r="N61" s="24">
        <v>0</v>
      </c>
      <c r="O61" s="23">
        <v>24</v>
      </c>
      <c r="P61" s="24">
        <v>0</v>
      </c>
      <c r="Q61" s="23">
        <v>24</v>
      </c>
      <c r="R61" s="24">
        <v>0</v>
      </c>
      <c r="S61" s="23">
        <v>24</v>
      </c>
      <c r="T61" s="24">
        <v>0</v>
      </c>
      <c r="U61" s="23">
        <v>24</v>
      </c>
      <c r="V61" s="24">
        <v>0</v>
      </c>
      <c r="W61" s="23">
        <v>24</v>
      </c>
      <c r="X61" s="24">
        <v>0</v>
      </c>
      <c r="Y61" s="20">
        <v>24</v>
      </c>
      <c r="Z61" s="19">
        <v>0</v>
      </c>
      <c r="AA61" s="23">
        <v>12</v>
      </c>
      <c r="AB61" s="24">
        <v>0</v>
      </c>
      <c r="AC61" s="23">
        <v>12</v>
      </c>
      <c r="AD61" s="24">
        <v>0</v>
      </c>
      <c r="AE61" s="23">
        <v>12</v>
      </c>
      <c r="AF61" s="24">
        <v>0</v>
      </c>
      <c r="AG61" s="23">
        <v>12</v>
      </c>
      <c r="AH61" s="24">
        <v>0</v>
      </c>
      <c r="AI61" s="23">
        <v>12</v>
      </c>
      <c r="AJ61" s="24">
        <v>0</v>
      </c>
      <c r="AK61" s="23">
        <v>12</v>
      </c>
      <c r="AL61" s="24">
        <v>0</v>
      </c>
      <c r="AM61" s="23">
        <v>12</v>
      </c>
      <c r="AN61" s="24">
        <v>0</v>
      </c>
      <c r="AO61" s="23">
        <v>12</v>
      </c>
      <c r="AP61" s="24">
        <v>0</v>
      </c>
      <c r="AQ61" s="23">
        <v>12</v>
      </c>
      <c r="AR61" s="24">
        <v>0</v>
      </c>
      <c r="AS61" s="20">
        <v>12</v>
      </c>
      <c r="AT61" s="19">
        <v>0</v>
      </c>
      <c r="AU61" s="23">
        <v>12</v>
      </c>
      <c r="AV61" s="24">
        <v>0</v>
      </c>
      <c r="AW61" s="23">
        <v>12</v>
      </c>
      <c r="AX61" s="24">
        <v>0</v>
      </c>
      <c r="AY61" s="23">
        <v>12</v>
      </c>
      <c r="AZ61" s="24">
        <v>0</v>
      </c>
      <c r="BA61" s="23">
        <v>12</v>
      </c>
      <c r="BB61" s="24">
        <v>0</v>
      </c>
      <c r="BC61" s="23">
        <v>12</v>
      </c>
      <c r="BD61" s="24">
        <v>0</v>
      </c>
      <c r="BE61" s="23">
        <v>12</v>
      </c>
      <c r="BF61" s="24">
        <v>0</v>
      </c>
      <c r="BG61" s="23">
        <v>12</v>
      </c>
      <c r="BH61" s="24">
        <v>0</v>
      </c>
      <c r="BI61" s="23">
        <v>12</v>
      </c>
      <c r="BJ61" s="24">
        <v>0</v>
      </c>
      <c r="BK61" s="23">
        <v>12</v>
      </c>
      <c r="BL61" s="24">
        <v>0</v>
      </c>
      <c r="BM61" s="20">
        <v>12</v>
      </c>
      <c r="BN61" s="19">
        <v>0</v>
      </c>
      <c r="BO61" s="23">
        <v>12</v>
      </c>
      <c r="BP61" s="24">
        <v>0</v>
      </c>
      <c r="BQ61" s="23">
        <v>12</v>
      </c>
      <c r="BR61" s="24">
        <v>0</v>
      </c>
      <c r="BS61" s="23">
        <v>12</v>
      </c>
      <c r="BT61" s="26">
        <v>0</v>
      </c>
      <c r="BU61" s="23">
        <v>12</v>
      </c>
      <c r="BV61" s="24">
        <v>0</v>
      </c>
      <c r="BW61" s="23">
        <v>12</v>
      </c>
      <c r="BX61" s="24">
        <v>0</v>
      </c>
      <c r="BY61" s="23">
        <v>12</v>
      </c>
      <c r="BZ61" s="24">
        <v>0</v>
      </c>
      <c r="CA61" s="23">
        <v>12</v>
      </c>
      <c r="CB61" s="24">
        <v>0</v>
      </c>
      <c r="CC61" s="23">
        <v>12</v>
      </c>
      <c r="CD61" s="24">
        <v>0</v>
      </c>
      <c r="CE61" s="23">
        <v>12</v>
      </c>
      <c r="CF61" s="24">
        <v>0</v>
      </c>
      <c r="CG61" s="20">
        <v>12</v>
      </c>
    </row>
    <row r="62" spans="1:85" x14ac:dyDescent="0.3">
      <c r="A62" t="s">
        <v>123</v>
      </c>
      <c r="B62">
        <v>20705</v>
      </c>
      <c r="C62" t="s">
        <v>124</v>
      </c>
      <c r="D62" s="19">
        <v>27642</v>
      </c>
      <c r="E62" s="20">
        <v>1364</v>
      </c>
      <c r="F62" s="19">
        <v>3585</v>
      </c>
      <c r="G62" s="23">
        <v>1151</v>
      </c>
      <c r="H62" s="24">
        <v>1456</v>
      </c>
      <c r="I62" s="23">
        <v>567</v>
      </c>
      <c r="J62" s="24">
        <v>1349</v>
      </c>
      <c r="K62" s="23">
        <v>563</v>
      </c>
      <c r="L62" s="24">
        <v>107</v>
      </c>
      <c r="M62" s="23">
        <v>112</v>
      </c>
      <c r="N62" s="24">
        <v>1773</v>
      </c>
      <c r="O62" s="23">
        <v>594</v>
      </c>
      <c r="P62" s="24">
        <v>1221</v>
      </c>
      <c r="Q62" s="23">
        <v>534</v>
      </c>
      <c r="R62" s="24">
        <v>552</v>
      </c>
      <c r="S62" s="23">
        <v>269</v>
      </c>
      <c r="T62" s="24">
        <v>356</v>
      </c>
      <c r="U62" s="23">
        <v>202</v>
      </c>
      <c r="V62" s="24">
        <v>332</v>
      </c>
      <c r="W62" s="23">
        <v>199</v>
      </c>
      <c r="X62" s="24">
        <v>24</v>
      </c>
      <c r="Y62" s="20">
        <v>37</v>
      </c>
      <c r="Z62" s="19">
        <v>1792</v>
      </c>
      <c r="AA62" s="23">
        <v>664</v>
      </c>
      <c r="AB62" s="24">
        <v>572</v>
      </c>
      <c r="AC62" s="23">
        <v>344</v>
      </c>
      <c r="AD62" s="24">
        <v>572</v>
      </c>
      <c r="AE62" s="23">
        <v>344</v>
      </c>
      <c r="AF62" s="24">
        <v>0</v>
      </c>
      <c r="AG62" s="23">
        <v>22</v>
      </c>
      <c r="AH62" s="24">
        <v>982</v>
      </c>
      <c r="AI62" s="23">
        <v>306</v>
      </c>
      <c r="AJ62" s="24">
        <v>754</v>
      </c>
      <c r="AK62" s="23">
        <v>262</v>
      </c>
      <c r="AL62" s="24">
        <v>228</v>
      </c>
      <c r="AM62" s="23">
        <v>126</v>
      </c>
      <c r="AN62" s="24">
        <v>238</v>
      </c>
      <c r="AO62" s="23">
        <v>142</v>
      </c>
      <c r="AP62" s="24">
        <v>238</v>
      </c>
      <c r="AQ62" s="23">
        <v>142</v>
      </c>
      <c r="AR62" s="24">
        <v>0</v>
      </c>
      <c r="AS62" s="20">
        <v>22</v>
      </c>
      <c r="AT62" s="19">
        <v>8852</v>
      </c>
      <c r="AU62" s="23">
        <v>1198</v>
      </c>
      <c r="AV62" s="24">
        <v>2624</v>
      </c>
      <c r="AW62" s="23">
        <v>531</v>
      </c>
      <c r="AX62" s="24">
        <v>2390</v>
      </c>
      <c r="AY62" s="23">
        <v>533</v>
      </c>
      <c r="AZ62" s="24">
        <v>234</v>
      </c>
      <c r="BA62" s="23">
        <v>188</v>
      </c>
      <c r="BB62" s="24">
        <v>5292</v>
      </c>
      <c r="BC62" s="23">
        <v>744</v>
      </c>
      <c r="BD62" s="24">
        <v>4204</v>
      </c>
      <c r="BE62" s="23">
        <v>620</v>
      </c>
      <c r="BF62" s="24">
        <v>1088</v>
      </c>
      <c r="BG62" s="23">
        <v>336</v>
      </c>
      <c r="BH62" s="24">
        <v>936</v>
      </c>
      <c r="BI62" s="23">
        <v>252</v>
      </c>
      <c r="BJ62" s="24">
        <v>868</v>
      </c>
      <c r="BK62" s="23">
        <v>232</v>
      </c>
      <c r="BL62" s="24">
        <v>68</v>
      </c>
      <c r="BM62" s="20">
        <v>75</v>
      </c>
      <c r="BN62" s="19">
        <v>13413</v>
      </c>
      <c r="BO62" s="23">
        <v>1491</v>
      </c>
      <c r="BP62" s="24">
        <v>2242</v>
      </c>
      <c r="BQ62" s="23">
        <v>508</v>
      </c>
      <c r="BR62" s="24">
        <v>2242</v>
      </c>
      <c r="BS62" s="23">
        <v>508</v>
      </c>
      <c r="BT62" s="26">
        <v>0</v>
      </c>
      <c r="BU62" s="23">
        <v>22</v>
      </c>
      <c r="BV62" s="24">
        <v>9484</v>
      </c>
      <c r="BW62" s="23">
        <v>1108</v>
      </c>
      <c r="BX62" s="24">
        <v>8550</v>
      </c>
      <c r="BY62" s="23">
        <v>984</v>
      </c>
      <c r="BZ62" s="24">
        <v>934</v>
      </c>
      <c r="CA62" s="23">
        <v>272</v>
      </c>
      <c r="CB62" s="24">
        <v>1687</v>
      </c>
      <c r="CC62" s="23">
        <v>271</v>
      </c>
      <c r="CD62" s="24">
        <v>1647</v>
      </c>
      <c r="CE62" s="23">
        <v>268</v>
      </c>
      <c r="CF62" s="24">
        <v>40</v>
      </c>
      <c r="CG62" s="20">
        <v>48</v>
      </c>
    </row>
    <row r="63" spans="1:85" x14ac:dyDescent="0.3">
      <c r="A63" t="s">
        <v>125</v>
      </c>
      <c r="B63">
        <v>20706</v>
      </c>
      <c r="C63" t="s">
        <v>126</v>
      </c>
      <c r="D63" s="19">
        <v>39732</v>
      </c>
      <c r="E63" s="20">
        <v>1518</v>
      </c>
      <c r="F63" s="19">
        <v>6422</v>
      </c>
      <c r="G63" s="23">
        <v>1350</v>
      </c>
      <c r="H63" s="24">
        <v>2541</v>
      </c>
      <c r="I63" s="23">
        <v>802</v>
      </c>
      <c r="J63" s="24">
        <v>2130</v>
      </c>
      <c r="K63" s="23">
        <v>702</v>
      </c>
      <c r="L63" s="24">
        <v>411</v>
      </c>
      <c r="M63" s="23">
        <v>293</v>
      </c>
      <c r="N63" s="24">
        <v>3304</v>
      </c>
      <c r="O63" s="23">
        <v>756</v>
      </c>
      <c r="P63" s="24">
        <v>2156</v>
      </c>
      <c r="Q63" s="23">
        <v>582</v>
      </c>
      <c r="R63" s="24">
        <v>1148</v>
      </c>
      <c r="S63" s="23">
        <v>385</v>
      </c>
      <c r="T63" s="24">
        <v>577</v>
      </c>
      <c r="U63" s="23">
        <v>238</v>
      </c>
      <c r="V63" s="24">
        <v>552</v>
      </c>
      <c r="W63" s="23">
        <v>237</v>
      </c>
      <c r="X63" s="24">
        <v>25</v>
      </c>
      <c r="Y63" s="20">
        <v>49</v>
      </c>
      <c r="Z63" s="19">
        <v>3915</v>
      </c>
      <c r="AA63" s="23">
        <v>934</v>
      </c>
      <c r="AB63" s="24">
        <v>1526</v>
      </c>
      <c r="AC63" s="23">
        <v>530</v>
      </c>
      <c r="AD63" s="24">
        <v>1389</v>
      </c>
      <c r="AE63" s="23">
        <v>506</v>
      </c>
      <c r="AF63" s="24">
        <v>137</v>
      </c>
      <c r="AG63" s="23">
        <v>107</v>
      </c>
      <c r="AH63" s="24">
        <v>2027</v>
      </c>
      <c r="AI63" s="23">
        <v>464</v>
      </c>
      <c r="AJ63" s="24">
        <v>1253</v>
      </c>
      <c r="AK63" s="23">
        <v>346</v>
      </c>
      <c r="AL63" s="24">
        <v>774</v>
      </c>
      <c r="AM63" s="23">
        <v>285</v>
      </c>
      <c r="AN63" s="24">
        <v>362</v>
      </c>
      <c r="AO63" s="23">
        <v>122</v>
      </c>
      <c r="AP63" s="24">
        <v>362</v>
      </c>
      <c r="AQ63" s="23">
        <v>122</v>
      </c>
      <c r="AR63" s="24">
        <v>0</v>
      </c>
      <c r="AS63" s="20">
        <v>25</v>
      </c>
      <c r="AT63" s="19">
        <v>13419</v>
      </c>
      <c r="AU63" s="23">
        <v>1427</v>
      </c>
      <c r="AV63" s="24">
        <v>3942</v>
      </c>
      <c r="AW63" s="23">
        <v>604</v>
      </c>
      <c r="AX63" s="24">
        <v>3574</v>
      </c>
      <c r="AY63" s="23">
        <v>578</v>
      </c>
      <c r="AZ63" s="24">
        <v>368</v>
      </c>
      <c r="BA63" s="23">
        <v>225</v>
      </c>
      <c r="BB63" s="24">
        <v>8121</v>
      </c>
      <c r="BC63" s="23">
        <v>908</v>
      </c>
      <c r="BD63" s="24">
        <v>6306</v>
      </c>
      <c r="BE63" s="23">
        <v>737</v>
      </c>
      <c r="BF63" s="24">
        <v>1815</v>
      </c>
      <c r="BG63" s="23">
        <v>450</v>
      </c>
      <c r="BH63" s="24">
        <v>1356</v>
      </c>
      <c r="BI63" s="23">
        <v>266</v>
      </c>
      <c r="BJ63" s="24">
        <v>1255</v>
      </c>
      <c r="BK63" s="23">
        <v>251</v>
      </c>
      <c r="BL63" s="24">
        <v>101</v>
      </c>
      <c r="BM63" s="20">
        <v>81</v>
      </c>
      <c r="BN63" s="19">
        <v>15976</v>
      </c>
      <c r="BO63" s="23">
        <v>1331</v>
      </c>
      <c r="BP63" s="24">
        <v>2257</v>
      </c>
      <c r="BQ63" s="23">
        <v>366</v>
      </c>
      <c r="BR63" s="24">
        <v>2191</v>
      </c>
      <c r="BS63" s="23">
        <v>363</v>
      </c>
      <c r="BT63" s="26">
        <v>66</v>
      </c>
      <c r="BU63" s="23">
        <v>38</v>
      </c>
      <c r="BV63" s="24">
        <v>11063</v>
      </c>
      <c r="BW63" s="23">
        <v>1032</v>
      </c>
      <c r="BX63" s="24">
        <v>10317</v>
      </c>
      <c r="BY63" s="23">
        <v>959</v>
      </c>
      <c r="BZ63" s="24">
        <v>746</v>
      </c>
      <c r="CA63" s="23">
        <v>199</v>
      </c>
      <c r="CB63" s="24">
        <v>2656</v>
      </c>
      <c r="CC63" s="23">
        <v>258</v>
      </c>
      <c r="CD63" s="24">
        <v>2614</v>
      </c>
      <c r="CE63" s="23">
        <v>248</v>
      </c>
      <c r="CF63" s="24">
        <v>42</v>
      </c>
      <c r="CG63" s="20">
        <v>45</v>
      </c>
    </row>
    <row r="64" spans="1:85" x14ac:dyDescent="0.3">
      <c r="A64" t="s">
        <v>127</v>
      </c>
      <c r="B64">
        <v>20707</v>
      </c>
      <c r="C64" t="s">
        <v>128</v>
      </c>
      <c r="D64" s="19">
        <v>32413</v>
      </c>
      <c r="E64" s="20">
        <v>780</v>
      </c>
      <c r="F64" s="19">
        <v>3427</v>
      </c>
      <c r="G64" s="23">
        <v>816</v>
      </c>
      <c r="H64" s="24">
        <v>1194</v>
      </c>
      <c r="I64" s="23">
        <v>484</v>
      </c>
      <c r="J64" s="24">
        <v>1176</v>
      </c>
      <c r="K64" s="23">
        <v>482</v>
      </c>
      <c r="L64" s="24">
        <v>18</v>
      </c>
      <c r="M64" s="23">
        <v>30</v>
      </c>
      <c r="N64" s="24">
        <v>1922</v>
      </c>
      <c r="O64" s="23">
        <v>437</v>
      </c>
      <c r="P64" s="24">
        <v>1369</v>
      </c>
      <c r="Q64" s="23">
        <v>360</v>
      </c>
      <c r="R64" s="24">
        <v>553</v>
      </c>
      <c r="S64" s="23">
        <v>217</v>
      </c>
      <c r="T64" s="24">
        <v>311</v>
      </c>
      <c r="U64" s="23">
        <v>127</v>
      </c>
      <c r="V64" s="24">
        <v>301</v>
      </c>
      <c r="W64" s="23">
        <v>126</v>
      </c>
      <c r="X64" s="24">
        <v>10</v>
      </c>
      <c r="Y64" s="20">
        <v>40</v>
      </c>
      <c r="Z64" s="19">
        <v>3096</v>
      </c>
      <c r="AA64" s="23">
        <v>603</v>
      </c>
      <c r="AB64" s="24">
        <v>1171</v>
      </c>
      <c r="AC64" s="23">
        <v>301</v>
      </c>
      <c r="AD64" s="24">
        <v>1107</v>
      </c>
      <c r="AE64" s="23">
        <v>289</v>
      </c>
      <c r="AF64" s="24">
        <v>64</v>
      </c>
      <c r="AG64" s="23">
        <v>62</v>
      </c>
      <c r="AH64" s="24">
        <v>1560</v>
      </c>
      <c r="AI64" s="23">
        <v>337</v>
      </c>
      <c r="AJ64" s="24">
        <v>1125</v>
      </c>
      <c r="AK64" s="23">
        <v>249</v>
      </c>
      <c r="AL64" s="24">
        <v>435</v>
      </c>
      <c r="AM64" s="23">
        <v>189</v>
      </c>
      <c r="AN64" s="24">
        <v>365</v>
      </c>
      <c r="AO64" s="23">
        <v>100</v>
      </c>
      <c r="AP64" s="24">
        <v>365</v>
      </c>
      <c r="AQ64" s="23">
        <v>100</v>
      </c>
      <c r="AR64" s="24">
        <v>0</v>
      </c>
      <c r="AS64" s="20">
        <v>25</v>
      </c>
      <c r="AT64" s="19">
        <v>9107</v>
      </c>
      <c r="AU64" s="23">
        <v>1044</v>
      </c>
      <c r="AV64" s="24">
        <v>2468</v>
      </c>
      <c r="AW64" s="23">
        <v>481</v>
      </c>
      <c r="AX64" s="24">
        <v>2286</v>
      </c>
      <c r="AY64" s="23">
        <v>477</v>
      </c>
      <c r="AZ64" s="24">
        <v>182</v>
      </c>
      <c r="BA64" s="23">
        <v>85</v>
      </c>
      <c r="BB64" s="24">
        <v>5636</v>
      </c>
      <c r="BC64" s="23">
        <v>618</v>
      </c>
      <c r="BD64" s="24">
        <v>4511</v>
      </c>
      <c r="BE64" s="23">
        <v>509</v>
      </c>
      <c r="BF64" s="24">
        <v>1125</v>
      </c>
      <c r="BG64" s="23">
        <v>324</v>
      </c>
      <c r="BH64" s="24">
        <v>1003</v>
      </c>
      <c r="BI64" s="23">
        <v>180</v>
      </c>
      <c r="BJ64" s="24">
        <v>904</v>
      </c>
      <c r="BK64" s="23">
        <v>169</v>
      </c>
      <c r="BL64" s="24">
        <v>99</v>
      </c>
      <c r="BM64" s="20">
        <v>71</v>
      </c>
      <c r="BN64" s="19">
        <v>16783</v>
      </c>
      <c r="BO64" s="23">
        <v>1000</v>
      </c>
      <c r="BP64" s="24">
        <v>2997</v>
      </c>
      <c r="BQ64" s="23">
        <v>374</v>
      </c>
      <c r="BR64" s="24">
        <v>2923</v>
      </c>
      <c r="BS64" s="23">
        <v>363</v>
      </c>
      <c r="BT64" s="26">
        <v>74</v>
      </c>
      <c r="BU64" s="23">
        <v>60</v>
      </c>
      <c r="BV64" s="24">
        <v>11673</v>
      </c>
      <c r="BW64" s="23">
        <v>755</v>
      </c>
      <c r="BX64" s="24">
        <v>11153</v>
      </c>
      <c r="BY64" s="23">
        <v>754</v>
      </c>
      <c r="BZ64" s="24">
        <v>520</v>
      </c>
      <c r="CA64" s="23">
        <v>146</v>
      </c>
      <c r="CB64" s="24">
        <v>2113</v>
      </c>
      <c r="CC64" s="23">
        <v>212</v>
      </c>
      <c r="CD64" s="24">
        <v>2096</v>
      </c>
      <c r="CE64" s="23">
        <v>212</v>
      </c>
      <c r="CF64" s="24">
        <v>17</v>
      </c>
      <c r="CG64" s="20">
        <v>26</v>
      </c>
    </row>
    <row r="65" spans="1:85" x14ac:dyDescent="0.3">
      <c r="A65" t="s">
        <v>129</v>
      </c>
      <c r="B65">
        <v>20708</v>
      </c>
      <c r="C65" t="s">
        <v>130</v>
      </c>
      <c r="D65" s="19">
        <v>25634</v>
      </c>
      <c r="E65" s="20">
        <v>1301</v>
      </c>
      <c r="F65" s="19">
        <v>3358</v>
      </c>
      <c r="G65" s="23">
        <v>1049</v>
      </c>
      <c r="H65" s="24">
        <v>1020</v>
      </c>
      <c r="I65" s="23">
        <v>504</v>
      </c>
      <c r="J65" s="24">
        <v>975</v>
      </c>
      <c r="K65" s="23">
        <v>494</v>
      </c>
      <c r="L65" s="24">
        <v>45</v>
      </c>
      <c r="M65" s="23">
        <v>59</v>
      </c>
      <c r="N65" s="24">
        <v>2103</v>
      </c>
      <c r="O65" s="23">
        <v>636</v>
      </c>
      <c r="P65" s="24">
        <v>1210</v>
      </c>
      <c r="Q65" s="23">
        <v>386</v>
      </c>
      <c r="R65" s="24">
        <v>893</v>
      </c>
      <c r="S65" s="23">
        <v>499</v>
      </c>
      <c r="T65" s="24">
        <v>235</v>
      </c>
      <c r="U65" s="23">
        <v>130</v>
      </c>
      <c r="V65" s="24">
        <v>223</v>
      </c>
      <c r="W65" s="23">
        <v>125</v>
      </c>
      <c r="X65" s="24">
        <v>12</v>
      </c>
      <c r="Y65" s="20">
        <v>41</v>
      </c>
      <c r="Z65" s="19">
        <v>2511</v>
      </c>
      <c r="AA65" s="23">
        <v>762</v>
      </c>
      <c r="AB65" s="24">
        <v>937</v>
      </c>
      <c r="AC65" s="23">
        <v>413</v>
      </c>
      <c r="AD65" s="24">
        <v>890</v>
      </c>
      <c r="AE65" s="23">
        <v>410</v>
      </c>
      <c r="AF65" s="24">
        <v>47</v>
      </c>
      <c r="AG65" s="23">
        <v>48</v>
      </c>
      <c r="AH65" s="24">
        <v>1481</v>
      </c>
      <c r="AI65" s="23">
        <v>412</v>
      </c>
      <c r="AJ65" s="24">
        <v>1127</v>
      </c>
      <c r="AK65" s="23">
        <v>334</v>
      </c>
      <c r="AL65" s="24">
        <v>354</v>
      </c>
      <c r="AM65" s="23">
        <v>186</v>
      </c>
      <c r="AN65" s="24">
        <v>93</v>
      </c>
      <c r="AO65" s="23">
        <v>51</v>
      </c>
      <c r="AP65" s="24">
        <v>93</v>
      </c>
      <c r="AQ65" s="23">
        <v>51</v>
      </c>
      <c r="AR65" s="24">
        <v>0</v>
      </c>
      <c r="AS65" s="20">
        <v>22</v>
      </c>
      <c r="AT65" s="19">
        <v>7923</v>
      </c>
      <c r="AU65" s="23">
        <v>1019</v>
      </c>
      <c r="AV65" s="24">
        <v>2063</v>
      </c>
      <c r="AW65" s="23">
        <v>460</v>
      </c>
      <c r="AX65" s="24">
        <v>1867</v>
      </c>
      <c r="AY65" s="23">
        <v>461</v>
      </c>
      <c r="AZ65" s="24">
        <v>196</v>
      </c>
      <c r="BA65" s="23">
        <v>145</v>
      </c>
      <c r="BB65" s="24">
        <v>5163</v>
      </c>
      <c r="BC65" s="23">
        <v>635</v>
      </c>
      <c r="BD65" s="24">
        <v>4258</v>
      </c>
      <c r="BE65" s="23">
        <v>647</v>
      </c>
      <c r="BF65" s="24">
        <v>905</v>
      </c>
      <c r="BG65" s="23">
        <v>277</v>
      </c>
      <c r="BH65" s="24">
        <v>697</v>
      </c>
      <c r="BI65" s="23">
        <v>171</v>
      </c>
      <c r="BJ65" s="24">
        <v>697</v>
      </c>
      <c r="BK65" s="23">
        <v>171</v>
      </c>
      <c r="BL65" s="24">
        <v>0</v>
      </c>
      <c r="BM65" s="20">
        <v>22</v>
      </c>
      <c r="BN65" s="19">
        <v>11842</v>
      </c>
      <c r="BO65" s="23">
        <v>1287</v>
      </c>
      <c r="BP65" s="24">
        <v>2477</v>
      </c>
      <c r="BQ65" s="23">
        <v>497</v>
      </c>
      <c r="BR65" s="24">
        <v>2391</v>
      </c>
      <c r="BS65" s="23">
        <v>482</v>
      </c>
      <c r="BT65" s="26">
        <v>86</v>
      </c>
      <c r="BU65" s="23">
        <v>68</v>
      </c>
      <c r="BV65" s="24">
        <v>8372</v>
      </c>
      <c r="BW65" s="23">
        <v>892</v>
      </c>
      <c r="BX65" s="24">
        <v>7998</v>
      </c>
      <c r="BY65" s="23">
        <v>836</v>
      </c>
      <c r="BZ65" s="24">
        <v>374</v>
      </c>
      <c r="CA65" s="23">
        <v>208</v>
      </c>
      <c r="CB65" s="24">
        <v>993</v>
      </c>
      <c r="CC65" s="23">
        <v>182</v>
      </c>
      <c r="CD65" s="24">
        <v>993</v>
      </c>
      <c r="CE65" s="23">
        <v>182</v>
      </c>
      <c r="CF65" s="24">
        <v>0</v>
      </c>
      <c r="CG65" s="20">
        <v>22</v>
      </c>
    </row>
    <row r="66" spans="1:85" x14ac:dyDescent="0.3">
      <c r="A66" t="s">
        <v>131</v>
      </c>
      <c r="B66">
        <v>20710</v>
      </c>
      <c r="C66" t="s">
        <v>132</v>
      </c>
      <c r="D66" s="19">
        <v>9732</v>
      </c>
      <c r="E66" s="20">
        <v>278</v>
      </c>
      <c r="F66" s="19">
        <v>2603</v>
      </c>
      <c r="G66" s="23">
        <v>978</v>
      </c>
      <c r="H66" s="24">
        <v>1080</v>
      </c>
      <c r="I66" s="23">
        <v>591</v>
      </c>
      <c r="J66" s="24">
        <v>980</v>
      </c>
      <c r="K66" s="23">
        <v>582</v>
      </c>
      <c r="L66" s="24">
        <v>100</v>
      </c>
      <c r="M66" s="23">
        <v>132</v>
      </c>
      <c r="N66" s="24">
        <v>970</v>
      </c>
      <c r="O66" s="23">
        <v>366</v>
      </c>
      <c r="P66" s="24">
        <v>601</v>
      </c>
      <c r="Q66" s="23">
        <v>273</v>
      </c>
      <c r="R66" s="24">
        <v>369</v>
      </c>
      <c r="S66" s="23">
        <v>215</v>
      </c>
      <c r="T66" s="24">
        <v>553</v>
      </c>
      <c r="U66" s="23">
        <v>239</v>
      </c>
      <c r="V66" s="24">
        <v>512</v>
      </c>
      <c r="W66" s="23">
        <v>221</v>
      </c>
      <c r="X66" s="24">
        <v>41</v>
      </c>
      <c r="Y66" s="20">
        <v>66</v>
      </c>
      <c r="Z66" s="19">
        <v>1714</v>
      </c>
      <c r="AA66" s="23">
        <v>618</v>
      </c>
      <c r="AB66" s="24">
        <v>699</v>
      </c>
      <c r="AC66" s="23">
        <v>316</v>
      </c>
      <c r="AD66" s="24">
        <v>610</v>
      </c>
      <c r="AE66" s="23">
        <v>308</v>
      </c>
      <c r="AF66" s="24">
        <v>89</v>
      </c>
      <c r="AG66" s="23">
        <v>82</v>
      </c>
      <c r="AH66" s="24">
        <v>889</v>
      </c>
      <c r="AI66" s="23">
        <v>308</v>
      </c>
      <c r="AJ66" s="24">
        <v>462</v>
      </c>
      <c r="AK66" s="23">
        <v>179</v>
      </c>
      <c r="AL66" s="24">
        <v>427</v>
      </c>
      <c r="AM66" s="23">
        <v>224</v>
      </c>
      <c r="AN66" s="24">
        <v>126</v>
      </c>
      <c r="AO66" s="23">
        <v>93</v>
      </c>
      <c r="AP66" s="24">
        <v>126</v>
      </c>
      <c r="AQ66" s="23">
        <v>93</v>
      </c>
      <c r="AR66" s="24">
        <v>0</v>
      </c>
      <c r="AS66" s="20">
        <v>17</v>
      </c>
      <c r="AT66" s="19">
        <v>3145</v>
      </c>
      <c r="AU66" s="23">
        <v>728</v>
      </c>
      <c r="AV66" s="24">
        <v>738</v>
      </c>
      <c r="AW66" s="23">
        <v>291</v>
      </c>
      <c r="AX66" s="24">
        <v>694</v>
      </c>
      <c r="AY66" s="23">
        <v>257</v>
      </c>
      <c r="AZ66" s="24">
        <v>44</v>
      </c>
      <c r="BA66" s="23">
        <v>61</v>
      </c>
      <c r="BB66" s="24">
        <v>2161</v>
      </c>
      <c r="BC66" s="23">
        <v>566</v>
      </c>
      <c r="BD66" s="24">
        <v>1649</v>
      </c>
      <c r="BE66" s="23">
        <v>425</v>
      </c>
      <c r="BF66" s="24">
        <v>512</v>
      </c>
      <c r="BG66" s="23">
        <v>411</v>
      </c>
      <c r="BH66" s="24">
        <v>246</v>
      </c>
      <c r="BI66" s="23">
        <v>103</v>
      </c>
      <c r="BJ66" s="24">
        <v>229</v>
      </c>
      <c r="BK66" s="23">
        <v>100</v>
      </c>
      <c r="BL66" s="24">
        <v>17</v>
      </c>
      <c r="BM66" s="20">
        <v>26</v>
      </c>
      <c r="BN66" s="19">
        <v>2270</v>
      </c>
      <c r="BO66" s="23">
        <v>596</v>
      </c>
      <c r="BP66" s="24">
        <v>513</v>
      </c>
      <c r="BQ66" s="23">
        <v>253</v>
      </c>
      <c r="BR66" s="24">
        <v>476</v>
      </c>
      <c r="BS66" s="23">
        <v>248</v>
      </c>
      <c r="BT66" s="26">
        <v>37</v>
      </c>
      <c r="BU66" s="23">
        <v>60</v>
      </c>
      <c r="BV66" s="24">
        <v>1590</v>
      </c>
      <c r="BW66" s="23">
        <v>397</v>
      </c>
      <c r="BX66" s="24">
        <v>1449</v>
      </c>
      <c r="BY66" s="23">
        <v>348</v>
      </c>
      <c r="BZ66" s="24">
        <v>141</v>
      </c>
      <c r="CA66" s="23">
        <v>115</v>
      </c>
      <c r="CB66" s="24">
        <v>167</v>
      </c>
      <c r="CC66" s="23">
        <v>80</v>
      </c>
      <c r="CD66" s="24">
        <v>167</v>
      </c>
      <c r="CE66" s="23">
        <v>80</v>
      </c>
      <c r="CF66" s="24">
        <v>0</v>
      </c>
      <c r="CG66" s="20">
        <v>17</v>
      </c>
    </row>
    <row r="67" spans="1:85" x14ac:dyDescent="0.3">
      <c r="A67" t="s">
        <v>133</v>
      </c>
      <c r="B67">
        <v>20711</v>
      </c>
      <c r="C67" t="s">
        <v>134</v>
      </c>
      <c r="D67" s="19">
        <v>6921</v>
      </c>
      <c r="E67" s="20">
        <v>649</v>
      </c>
      <c r="F67" s="19">
        <v>1282</v>
      </c>
      <c r="G67" s="23">
        <v>792</v>
      </c>
      <c r="H67" s="24">
        <v>464</v>
      </c>
      <c r="I67" s="23">
        <v>387</v>
      </c>
      <c r="J67" s="24">
        <v>464</v>
      </c>
      <c r="K67" s="23">
        <v>387</v>
      </c>
      <c r="L67" s="24">
        <v>0</v>
      </c>
      <c r="M67" s="23">
        <v>34</v>
      </c>
      <c r="N67" s="24">
        <v>635</v>
      </c>
      <c r="O67" s="23">
        <v>363</v>
      </c>
      <c r="P67" s="24">
        <v>537</v>
      </c>
      <c r="Q67" s="23">
        <v>296</v>
      </c>
      <c r="R67" s="24">
        <v>98</v>
      </c>
      <c r="S67" s="23">
        <v>134</v>
      </c>
      <c r="T67" s="24">
        <v>183</v>
      </c>
      <c r="U67" s="23">
        <v>166</v>
      </c>
      <c r="V67" s="24">
        <v>183</v>
      </c>
      <c r="W67" s="23">
        <v>166</v>
      </c>
      <c r="X67" s="24">
        <v>0</v>
      </c>
      <c r="Y67" s="20">
        <v>34</v>
      </c>
      <c r="Z67" s="19">
        <v>403</v>
      </c>
      <c r="AA67" s="23">
        <v>292</v>
      </c>
      <c r="AB67" s="24">
        <v>36</v>
      </c>
      <c r="AC67" s="23">
        <v>73</v>
      </c>
      <c r="AD67" s="24">
        <v>36</v>
      </c>
      <c r="AE67" s="23">
        <v>73</v>
      </c>
      <c r="AF67" s="24">
        <v>0</v>
      </c>
      <c r="AG67" s="23">
        <v>17</v>
      </c>
      <c r="AH67" s="24">
        <v>167</v>
      </c>
      <c r="AI67" s="23">
        <v>123</v>
      </c>
      <c r="AJ67" s="24">
        <v>128</v>
      </c>
      <c r="AK67" s="23">
        <v>95</v>
      </c>
      <c r="AL67" s="24">
        <v>39</v>
      </c>
      <c r="AM67" s="23">
        <v>51</v>
      </c>
      <c r="AN67" s="24">
        <v>200</v>
      </c>
      <c r="AO67" s="23">
        <v>186</v>
      </c>
      <c r="AP67" s="24">
        <v>200</v>
      </c>
      <c r="AQ67" s="23">
        <v>186</v>
      </c>
      <c r="AR67" s="24">
        <v>0</v>
      </c>
      <c r="AS67" s="20">
        <v>17</v>
      </c>
      <c r="AT67" s="19">
        <v>2372</v>
      </c>
      <c r="AU67" s="23">
        <v>765</v>
      </c>
      <c r="AV67" s="24">
        <v>855</v>
      </c>
      <c r="AW67" s="23">
        <v>405</v>
      </c>
      <c r="AX67" s="24">
        <v>832</v>
      </c>
      <c r="AY67" s="23">
        <v>404</v>
      </c>
      <c r="AZ67" s="24">
        <v>23</v>
      </c>
      <c r="BA67" s="23">
        <v>38</v>
      </c>
      <c r="BB67" s="24">
        <v>1290</v>
      </c>
      <c r="BC67" s="23">
        <v>375</v>
      </c>
      <c r="BD67" s="24">
        <v>1236</v>
      </c>
      <c r="BE67" s="23">
        <v>363</v>
      </c>
      <c r="BF67" s="24">
        <v>54</v>
      </c>
      <c r="BG67" s="23">
        <v>62</v>
      </c>
      <c r="BH67" s="24">
        <v>227</v>
      </c>
      <c r="BI67" s="23">
        <v>125</v>
      </c>
      <c r="BJ67" s="24">
        <v>227</v>
      </c>
      <c r="BK67" s="23">
        <v>125</v>
      </c>
      <c r="BL67" s="24">
        <v>0</v>
      </c>
      <c r="BM67" s="20">
        <v>17</v>
      </c>
      <c r="BN67" s="19">
        <v>2864</v>
      </c>
      <c r="BO67" s="23">
        <v>529</v>
      </c>
      <c r="BP67" s="24">
        <v>520</v>
      </c>
      <c r="BQ67" s="23">
        <v>229</v>
      </c>
      <c r="BR67" s="24">
        <v>520</v>
      </c>
      <c r="BS67" s="23">
        <v>229</v>
      </c>
      <c r="BT67" s="26">
        <v>0</v>
      </c>
      <c r="BU67" s="23">
        <v>17</v>
      </c>
      <c r="BV67" s="24">
        <v>1925</v>
      </c>
      <c r="BW67" s="23">
        <v>358</v>
      </c>
      <c r="BX67" s="24">
        <v>1886</v>
      </c>
      <c r="BY67" s="23">
        <v>361</v>
      </c>
      <c r="BZ67" s="24">
        <v>39</v>
      </c>
      <c r="CA67" s="23">
        <v>65</v>
      </c>
      <c r="CB67" s="24">
        <v>419</v>
      </c>
      <c r="CC67" s="23">
        <v>121</v>
      </c>
      <c r="CD67" s="24">
        <v>419</v>
      </c>
      <c r="CE67" s="23">
        <v>121</v>
      </c>
      <c r="CF67" s="24">
        <v>0</v>
      </c>
      <c r="CG67" s="20">
        <v>17</v>
      </c>
    </row>
    <row r="68" spans="1:85" x14ac:dyDescent="0.3">
      <c r="A68" t="s">
        <v>135</v>
      </c>
      <c r="B68">
        <v>20712</v>
      </c>
      <c r="C68" t="s">
        <v>136</v>
      </c>
      <c r="D68" s="19">
        <v>9278</v>
      </c>
      <c r="E68" s="20">
        <v>231</v>
      </c>
      <c r="F68" s="19">
        <v>1546</v>
      </c>
      <c r="G68" s="23">
        <v>546</v>
      </c>
      <c r="H68" s="24">
        <v>453</v>
      </c>
      <c r="I68" s="23">
        <v>286</v>
      </c>
      <c r="J68" s="24">
        <v>394</v>
      </c>
      <c r="K68" s="23">
        <v>273</v>
      </c>
      <c r="L68" s="24">
        <v>59</v>
      </c>
      <c r="M68" s="23">
        <v>78</v>
      </c>
      <c r="N68" s="24">
        <v>900</v>
      </c>
      <c r="O68" s="23">
        <v>292</v>
      </c>
      <c r="P68" s="24">
        <v>578</v>
      </c>
      <c r="Q68" s="23">
        <v>242</v>
      </c>
      <c r="R68" s="24">
        <v>322</v>
      </c>
      <c r="S68" s="23">
        <v>165</v>
      </c>
      <c r="T68" s="24">
        <v>193</v>
      </c>
      <c r="U68" s="23">
        <v>117</v>
      </c>
      <c r="V68" s="24">
        <v>177</v>
      </c>
      <c r="W68" s="23">
        <v>115</v>
      </c>
      <c r="X68" s="24">
        <v>16</v>
      </c>
      <c r="Y68" s="20">
        <v>42</v>
      </c>
      <c r="Z68" s="19">
        <v>1595</v>
      </c>
      <c r="AA68" s="23">
        <v>504</v>
      </c>
      <c r="AB68" s="24">
        <v>432</v>
      </c>
      <c r="AC68" s="23">
        <v>208</v>
      </c>
      <c r="AD68" s="24">
        <v>432</v>
      </c>
      <c r="AE68" s="23">
        <v>208</v>
      </c>
      <c r="AF68" s="24">
        <v>0</v>
      </c>
      <c r="AG68" s="23">
        <v>17</v>
      </c>
      <c r="AH68" s="24">
        <v>1085</v>
      </c>
      <c r="AI68" s="23">
        <v>352</v>
      </c>
      <c r="AJ68" s="24">
        <v>582</v>
      </c>
      <c r="AK68" s="23">
        <v>203</v>
      </c>
      <c r="AL68" s="24">
        <v>503</v>
      </c>
      <c r="AM68" s="23">
        <v>240</v>
      </c>
      <c r="AN68" s="24">
        <v>78</v>
      </c>
      <c r="AO68" s="23">
        <v>56</v>
      </c>
      <c r="AP68" s="24">
        <v>78</v>
      </c>
      <c r="AQ68" s="23">
        <v>56</v>
      </c>
      <c r="AR68" s="24">
        <v>0</v>
      </c>
      <c r="AS68" s="20">
        <v>17</v>
      </c>
      <c r="AT68" s="19">
        <v>3298</v>
      </c>
      <c r="AU68" s="23">
        <v>631</v>
      </c>
      <c r="AV68" s="24">
        <v>756</v>
      </c>
      <c r="AW68" s="23">
        <v>262</v>
      </c>
      <c r="AX68" s="24">
        <v>696</v>
      </c>
      <c r="AY68" s="23">
        <v>236</v>
      </c>
      <c r="AZ68" s="24">
        <v>60</v>
      </c>
      <c r="BA68" s="23">
        <v>89</v>
      </c>
      <c r="BB68" s="24">
        <v>2290</v>
      </c>
      <c r="BC68" s="23">
        <v>407</v>
      </c>
      <c r="BD68" s="24">
        <v>1668</v>
      </c>
      <c r="BE68" s="23">
        <v>316</v>
      </c>
      <c r="BF68" s="24">
        <v>622</v>
      </c>
      <c r="BG68" s="23">
        <v>227</v>
      </c>
      <c r="BH68" s="24">
        <v>252</v>
      </c>
      <c r="BI68" s="23">
        <v>118</v>
      </c>
      <c r="BJ68" s="24">
        <v>252</v>
      </c>
      <c r="BK68" s="23">
        <v>118</v>
      </c>
      <c r="BL68" s="24">
        <v>0</v>
      </c>
      <c r="BM68" s="20">
        <v>17</v>
      </c>
      <c r="BN68" s="19">
        <v>2839</v>
      </c>
      <c r="BO68" s="23">
        <v>603</v>
      </c>
      <c r="BP68" s="24">
        <v>540</v>
      </c>
      <c r="BQ68" s="23">
        <v>215</v>
      </c>
      <c r="BR68" s="24">
        <v>520</v>
      </c>
      <c r="BS68" s="23">
        <v>210</v>
      </c>
      <c r="BT68" s="26">
        <v>20</v>
      </c>
      <c r="BU68" s="23">
        <v>34</v>
      </c>
      <c r="BV68" s="24">
        <v>1975</v>
      </c>
      <c r="BW68" s="23">
        <v>419</v>
      </c>
      <c r="BX68" s="24">
        <v>1830</v>
      </c>
      <c r="BY68" s="23">
        <v>389</v>
      </c>
      <c r="BZ68" s="24">
        <v>145</v>
      </c>
      <c r="CA68" s="23">
        <v>98</v>
      </c>
      <c r="CB68" s="24">
        <v>324</v>
      </c>
      <c r="CC68" s="23">
        <v>95</v>
      </c>
      <c r="CD68" s="24">
        <v>324</v>
      </c>
      <c r="CE68" s="23">
        <v>95</v>
      </c>
      <c r="CF68" s="24">
        <v>0</v>
      </c>
      <c r="CG68" s="20">
        <v>17</v>
      </c>
    </row>
    <row r="69" spans="1:85" x14ac:dyDescent="0.3">
      <c r="A69" t="s">
        <v>137</v>
      </c>
      <c r="B69">
        <v>20714</v>
      </c>
      <c r="C69" t="s">
        <v>138</v>
      </c>
      <c r="D69" s="19">
        <v>4705</v>
      </c>
      <c r="E69" s="20">
        <v>592</v>
      </c>
      <c r="F69" s="19">
        <v>495</v>
      </c>
      <c r="G69" s="23">
        <v>309</v>
      </c>
      <c r="H69" s="24">
        <v>197</v>
      </c>
      <c r="I69" s="23">
        <v>181</v>
      </c>
      <c r="J69" s="24">
        <v>189</v>
      </c>
      <c r="K69" s="23">
        <v>179</v>
      </c>
      <c r="L69" s="24">
        <v>8</v>
      </c>
      <c r="M69" s="23">
        <v>25</v>
      </c>
      <c r="N69" s="24">
        <v>223</v>
      </c>
      <c r="O69" s="23">
        <v>134</v>
      </c>
      <c r="P69" s="24">
        <v>216</v>
      </c>
      <c r="Q69" s="23">
        <v>133</v>
      </c>
      <c r="R69" s="24">
        <v>7</v>
      </c>
      <c r="S69" s="23">
        <v>24</v>
      </c>
      <c r="T69" s="24">
        <v>75</v>
      </c>
      <c r="U69" s="23">
        <v>58</v>
      </c>
      <c r="V69" s="24">
        <v>75</v>
      </c>
      <c r="W69" s="23">
        <v>58</v>
      </c>
      <c r="X69" s="24">
        <v>0</v>
      </c>
      <c r="Y69" s="20">
        <v>24</v>
      </c>
      <c r="Z69" s="19">
        <v>352</v>
      </c>
      <c r="AA69" s="23">
        <v>231</v>
      </c>
      <c r="AB69" s="24">
        <v>134</v>
      </c>
      <c r="AC69" s="23">
        <v>145</v>
      </c>
      <c r="AD69" s="24">
        <v>84</v>
      </c>
      <c r="AE69" s="23">
        <v>78</v>
      </c>
      <c r="AF69" s="24">
        <v>50</v>
      </c>
      <c r="AG69" s="23">
        <v>80</v>
      </c>
      <c r="AH69" s="24">
        <v>175</v>
      </c>
      <c r="AI69" s="23">
        <v>102</v>
      </c>
      <c r="AJ69" s="24">
        <v>151</v>
      </c>
      <c r="AK69" s="23">
        <v>101</v>
      </c>
      <c r="AL69" s="24">
        <v>24</v>
      </c>
      <c r="AM69" s="23">
        <v>23</v>
      </c>
      <c r="AN69" s="24">
        <v>43</v>
      </c>
      <c r="AO69" s="23">
        <v>32</v>
      </c>
      <c r="AP69" s="24">
        <v>43</v>
      </c>
      <c r="AQ69" s="23">
        <v>32</v>
      </c>
      <c r="AR69" s="24">
        <v>0</v>
      </c>
      <c r="AS69" s="20">
        <v>12</v>
      </c>
      <c r="AT69" s="19">
        <v>973</v>
      </c>
      <c r="AU69" s="23">
        <v>292</v>
      </c>
      <c r="AV69" s="24">
        <v>232</v>
      </c>
      <c r="AW69" s="23">
        <v>136</v>
      </c>
      <c r="AX69" s="24">
        <v>232</v>
      </c>
      <c r="AY69" s="23">
        <v>136</v>
      </c>
      <c r="AZ69" s="24">
        <v>0</v>
      </c>
      <c r="BA69" s="23">
        <v>12</v>
      </c>
      <c r="BB69" s="24">
        <v>549</v>
      </c>
      <c r="BC69" s="23">
        <v>191</v>
      </c>
      <c r="BD69" s="24">
        <v>496</v>
      </c>
      <c r="BE69" s="23">
        <v>170</v>
      </c>
      <c r="BF69" s="24">
        <v>53</v>
      </c>
      <c r="BG69" s="23">
        <v>52</v>
      </c>
      <c r="BH69" s="24">
        <v>192</v>
      </c>
      <c r="BI69" s="23">
        <v>67</v>
      </c>
      <c r="BJ69" s="24">
        <v>192</v>
      </c>
      <c r="BK69" s="23">
        <v>67</v>
      </c>
      <c r="BL69" s="24">
        <v>0</v>
      </c>
      <c r="BM69" s="20">
        <v>12</v>
      </c>
      <c r="BN69" s="19">
        <v>2885</v>
      </c>
      <c r="BO69" s="23">
        <v>444</v>
      </c>
      <c r="BP69" s="24">
        <v>600</v>
      </c>
      <c r="BQ69" s="23">
        <v>206</v>
      </c>
      <c r="BR69" s="24">
        <v>600</v>
      </c>
      <c r="BS69" s="23">
        <v>206</v>
      </c>
      <c r="BT69" s="26">
        <v>0</v>
      </c>
      <c r="BU69" s="23">
        <v>12</v>
      </c>
      <c r="BV69" s="24">
        <v>1837</v>
      </c>
      <c r="BW69" s="23">
        <v>296</v>
      </c>
      <c r="BX69" s="24">
        <v>1784</v>
      </c>
      <c r="BY69" s="23">
        <v>277</v>
      </c>
      <c r="BZ69" s="24">
        <v>53</v>
      </c>
      <c r="CA69" s="23">
        <v>53</v>
      </c>
      <c r="CB69" s="24">
        <v>448</v>
      </c>
      <c r="CC69" s="23">
        <v>140</v>
      </c>
      <c r="CD69" s="24">
        <v>448</v>
      </c>
      <c r="CE69" s="23">
        <v>140</v>
      </c>
      <c r="CF69" s="24">
        <v>0</v>
      </c>
      <c r="CG69" s="20">
        <v>12</v>
      </c>
    </row>
    <row r="70" spans="1:85" x14ac:dyDescent="0.3">
      <c r="A70" t="s">
        <v>139</v>
      </c>
      <c r="B70">
        <v>20715</v>
      </c>
      <c r="C70" t="s">
        <v>140</v>
      </c>
      <c r="D70" s="19">
        <v>24746</v>
      </c>
      <c r="E70" s="20">
        <v>788</v>
      </c>
      <c r="F70" s="19">
        <v>1421</v>
      </c>
      <c r="G70" s="23">
        <v>471</v>
      </c>
      <c r="H70" s="24">
        <v>263</v>
      </c>
      <c r="I70" s="23">
        <v>206</v>
      </c>
      <c r="J70" s="24">
        <v>212</v>
      </c>
      <c r="K70" s="23">
        <v>183</v>
      </c>
      <c r="L70" s="24">
        <v>51</v>
      </c>
      <c r="M70" s="23">
        <v>52</v>
      </c>
      <c r="N70" s="24">
        <v>878</v>
      </c>
      <c r="O70" s="23">
        <v>277</v>
      </c>
      <c r="P70" s="24">
        <v>714</v>
      </c>
      <c r="Q70" s="23">
        <v>273</v>
      </c>
      <c r="R70" s="24">
        <v>164</v>
      </c>
      <c r="S70" s="23">
        <v>120</v>
      </c>
      <c r="T70" s="24">
        <v>280</v>
      </c>
      <c r="U70" s="23">
        <v>129</v>
      </c>
      <c r="V70" s="24">
        <v>248</v>
      </c>
      <c r="W70" s="23">
        <v>121</v>
      </c>
      <c r="X70" s="24">
        <v>32</v>
      </c>
      <c r="Y70" s="20">
        <v>56</v>
      </c>
      <c r="Z70" s="19">
        <v>1450</v>
      </c>
      <c r="AA70" s="23">
        <v>501</v>
      </c>
      <c r="AB70" s="24">
        <v>494</v>
      </c>
      <c r="AC70" s="23">
        <v>277</v>
      </c>
      <c r="AD70" s="24">
        <v>443</v>
      </c>
      <c r="AE70" s="23">
        <v>267</v>
      </c>
      <c r="AF70" s="24">
        <v>51</v>
      </c>
      <c r="AG70" s="23">
        <v>43</v>
      </c>
      <c r="AH70" s="24">
        <v>695</v>
      </c>
      <c r="AI70" s="23">
        <v>262</v>
      </c>
      <c r="AJ70" s="24">
        <v>435</v>
      </c>
      <c r="AK70" s="23">
        <v>172</v>
      </c>
      <c r="AL70" s="24">
        <v>260</v>
      </c>
      <c r="AM70" s="23">
        <v>161</v>
      </c>
      <c r="AN70" s="24">
        <v>261</v>
      </c>
      <c r="AO70" s="23">
        <v>103</v>
      </c>
      <c r="AP70" s="24">
        <v>261</v>
      </c>
      <c r="AQ70" s="23">
        <v>103</v>
      </c>
      <c r="AR70" s="24">
        <v>0</v>
      </c>
      <c r="AS70" s="20">
        <v>22</v>
      </c>
      <c r="AT70" s="19">
        <v>4852</v>
      </c>
      <c r="AU70" s="23">
        <v>688</v>
      </c>
      <c r="AV70" s="24">
        <v>1293</v>
      </c>
      <c r="AW70" s="23">
        <v>361</v>
      </c>
      <c r="AX70" s="24">
        <v>1262</v>
      </c>
      <c r="AY70" s="23">
        <v>352</v>
      </c>
      <c r="AZ70" s="24">
        <v>31</v>
      </c>
      <c r="BA70" s="23">
        <v>31</v>
      </c>
      <c r="BB70" s="24">
        <v>2635</v>
      </c>
      <c r="BC70" s="23">
        <v>386</v>
      </c>
      <c r="BD70" s="24">
        <v>2411</v>
      </c>
      <c r="BE70" s="23">
        <v>392</v>
      </c>
      <c r="BF70" s="24">
        <v>224</v>
      </c>
      <c r="BG70" s="23">
        <v>99</v>
      </c>
      <c r="BH70" s="24">
        <v>924</v>
      </c>
      <c r="BI70" s="23">
        <v>185</v>
      </c>
      <c r="BJ70" s="24">
        <v>910</v>
      </c>
      <c r="BK70" s="23">
        <v>185</v>
      </c>
      <c r="BL70" s="24">
        <v>14</v>
      </c>
      <c r="BM70" s="20">
        <v>22</v>
      </c>
      <c r="BN70" s="19">
        <v>17023</v>
      </c>
      <c r="BO70" s="23">
        <v>800</v>
      </c>
      <c r="BP70" s="24">
        <v>3334</v>
      </c>
      <c r="BQ70" s="23">
        <v>357</v>
      </c>
      <c r="BR70" s="24">
        <v>3270</v>
      </c>
      <c r="BS70" s="23">
        <v>357</v>
      </c>
      <c r="BT70" s="26">
        <v>64</v>
      </c>
      <c r="BU70" s="23">
        <v>39</v>
      </c>
      <c r="BV70" s="24">
        <v>10906</v>
      </c>
      <c r="BW70" s="23">
        <v>532</v>
      </c>
      <c r="BX70" s="24">
        <v>10511</v>
      </c>
      <c r="BY70" s="23">
        <v>536</v>
      </c>
      <c r="BZ70" s="24">
        <v>395</v>
      </c>
      <c r="CA70" s="23">
        <v>131</v>
      </c>
      <c r="CB70" s="24">
        <v>2783</v>
      </c>
      <c r="CC70" s="23">
        <v>242</v>
      </c>
      <c r="CD70" s="24">
        <v>2783</v>
      </c>
      <c r="CE70" s="23">
        <v>242</v>
      </c>
      <c r="CF70" s="24">
        <v>0</v>
      </c>
      <c r="CG70" s="20">
        <v>22</v>
      </c>
    </row>
    <row r="71" spans="1:85" x14ac:dyDescent="0.3">
      <c r="A71" t="s">
        <v>141</v>
      </c>
      <c r="B71">
        <v>20716</v>
      </c>
      <c r="C71" t="s">
        <v>142</v>
      </c>
      <c r="D71" s="19">
        <v>21910</v>
      </c>
      <c r="E71" s="20">
        <v>805</v>
      </c>
      <c r="F71" s="19">
        <v>1200</v>
      </c>
      <c r="G71" s="23">
        <v>405</v>
      </c>
      <c r="H71" s="24">
        <v>249</v>
      </c>
      <c r="I71" s="23">
        <v>196</v>
      </c>
      <c r="J71" s="24">
        <v>241</v>
      </c>
      <c r="K71" s="23">
        <v>195</v>
      </c>
      <c r="L71" s="24">
        <v>8</v>
      </c>
      <c r="M71" s="23">
        <v>35</v>
      </c>
      <c r="N71" s="24">
        <v>704</v>
      </c>
      <c r="O71" s="23">
        <v>239</v>
      </c>
      <c r="P71" s="24">
        <v>634</v>
      </c>
      <c r="Q71" s="23">
        <v>228</v>
      </c>
      <c r="R71" s="24">
        <v>70</v>
      </c>
      <c r="S71" s="23">
        <v>54</v>
      </c>
      <c r="T71" s="24">
        <v>247</v>
      </c>
      <c r="U71" s="23">
        <v>121</v>
      </c>
      <c r="V71" s="24">
        <v>235</v>
      </c>
      <c r="W71" s="23">
        <v>120</v>
      </c>
      <c r="X71" s="24">
        <v>12</v>
      </c>
      <c r="Y71" s="20">
        <v>40</v>
      </c>
      <c r="Z71" s="19">
        <v>1362</v>
      </c>
      <c r="AA71" s="23">
        <v>334</v>
      </c>
      <c r="AB71" s="24">
        <v>356</v>
      </c>
      <c r="AC71" s="23">
        <v>137</v>
      </c>
      <c r="AD71" s="24">
        <v>341</v>
      </c>
      <c r="AE71" s="23">
        <v>134</v>
      </c>
      <c r="AF71" s="24">
        <v>15</v>
      </c>
      <c r="AG71" s="23">
        <v>24</v>
      </c>
      <c r="AH71" s="24">
        <v>811</v>
      </c>
      <c r="AI71" s="23">
        <v>220</v>
      </c>
      <c r="AJ71" s="24">
        <v>686</v>
      </c>
      <c r="AK71" s="23">
        <v>205</v>
      </c>
      <c r="AL71" s="24">
        <v>125</v>
      </c>
      <c r="AM71" s="23">
        <v>95</v>
      </c>
      <c r="AN71" s="24">
        <v>195</v>
      </c>
      <c r="AO71" s="23">
        <v>77</v>
      </c>
      <c r="AP71" s="24">
        <v>184</v>
      </c>
      <c r="AQ71" s="23">
        <v>71</v>
      </c>
      <c r="AR71" s="24">
        <v>11</v>
      </c>
      <c r="AS71" s="20">
        <v>18</v>
      </c>
      <c r="AT71" s="19">
        <v>5569</v>
      </c>
      <c r="AU71" s="23">
        <v>803</v>
      </c>
      <c r="AV71" s="24">
        <v>1833</v>
      </c>
      <c r="AW71" s="23">
        <v>370</v>
      </c>
      <c r="AX71" s="24">
        <v>1781</v>
      </c>
      <c r="AY71" s="23">
        <v>367</v>
      </c>
      <c r="AZ71" s="24">
        <v>52</v>
      </c>
      <c r="BA71" s="23">
        <v>53</v>
      </c>
      <c r="BB71" s="24">
        <v>2898</v>
      </c>
      <c r="BC71" s="23">
        <v>455</v>
      </c>
      <c r="BD71" s="24">
        <v>2530</v>
      </c>
      <c r="BE71" s="23">
        <v>388</v>
      </c>
      <c r="BF71" s="24">
        <v>368</v>
      </c>
      <c r="BG71" s="23">
        <v>175</v>
      </c>
      <c r="BH71" s="24">
        <v>838</v>
      </c>
      <c r="BI71" s="23">
        <v>191</v>
      </c>
      <c r="BJ71" s="24">
        <v>800</v>
      </c>
      <c r="BK71" s="23">
        <v>186</v>
      </c>
      <c r="BL71" s="24">
        <v>38</v>
      </c>
      <c r="BM71" s="20">
        <v>42</v>
      </c>
      <c r="BN71" s="19">
        <v>13779</v>
      </c>
      <c r="BO71" s="23">
        <v>1004</v>
      </c>
      <c r="BP71" s="24">
        <v>2753</v>
      </c>
      <c r="BQ71" s="23">
        <v>427</v>
      </c>
      <c r="BR71" s="24">
        <v>2715</v>
      </c>
      <c r="BS71" s="23">
        <v>420</v>
      </c>
      <c r="BT71" s="26">
        <v>38</v>
      </c>
      <c r="BU71" s="23">
        <v>34</v>
      </c>
      <c r="BV71" s="24">
        <v>9709</v>
      </c>
      <c r="BW71" s="23">
        <v>694</v>
      </c>
      <c r="BX71" s="24">
        <v>9227</v>
      </c>
      <c r="BY71" s="23">
        <v>683</v>
      </c>
      <c r="BZ71" s="24">
        <v>482</v>
      </c>
      <c r="CA71" s="23">
        <v>163</v>
      </c>
      <c r="CB71" s="24">
        <v>1317</v>
      </c>
      <c r="CC71" s="23">
        <v>205</v>
      </c>
      <c r="CD71" s="24">
        <v>1243</v>
      </c>
      <c r="CE71" s="23">
        <v>204</v>
      </c>
      <c r="CF71" s="24">
        <v>74</v>
      </c>
      <c r="CG71" s="20">
        <v>53</v>
      </c>
    </row>
    <row r="72" spans="1:85" x14ac:dyDescent="0.3">
      <c r="A72" t="s">
        <v>143</v>
      </c>
      <c r="B72">
        <v>20720</v>
      </c>
      <c r="C72" t="s">
        <v>144</v>
      </c>
      <c r="D72" s="19">
        <v>22582</v>
      </c>
      <c r="E72" s="20">
        <v>867</v>
      </c>
      <c r="F72" s="19">
        <v>1191</v>
      </c>
      <c r="G72" s="23">
        <v>635</v>
      </c>
      <c r="H72" s="24">
        <v>344</v>
      </c>
      <c r="I72" s="23">
        <v>299</v>
      </c>
      <c r="J72" s="24">
        <v>344</v>
      </c>
      <c r="K72" s="23">
        <v>299</v>
      </c>
      <c r="L72" s="24">
        <v>0</v>
      </c>
      <c r="M72" s="23">
        <v>44</v>
      </c>
      <c r="N72" s="24">
        <v>664</v>
      </c>
      <c r="O72" s="23">
        <v>376</v>
      </c>
      <c r="P72" s="24">
        <v>532</v>
      </c>
      <c r="Q72" s="23">
        <v>329</v>
      </c>
      <c r="R72" s="24">
        <v>132</v>
      </c>
      <c r="S72" s="23">
        <v>138</v>
      </c>
      <c r="T72" s="24">
        <v>183</v>
      </c>
      <c r="U72" s="23">
        <v>161</v>
      </c>
      <c r="V72" s="24">
        <v>183</v>
      </c>
      <c r="W72" s="23">
        <v>161</v>
      </c>
      <c r="X72" s="24">
        <v>0</v>
      </c>
      <c r="Y72" s="20">
        <v>44</v>
      </c>
      <c r="Z72" s="19">
        <v>1074</v>
      </c>
      <c r="AA72" s="23">
        <v>428</v>
      </c>
      <c r="AB72" s="24">
        <v>320</v>
      </c>
      <c r="AC72" s="23">
        <v>188</v>
      </c>
      <c r="AD72" s="24">
        <v>253</v>
      </c>
      <c r="AE72" s="23">
        <v>169</v>
      </c>
      <c r="AF72" s="24">
        <v>67</v>
      </c>
      <c r="AG72" s="23">
        <v>60</v>
      </c>
      <c r="AH72" s="24">
        <v>603</v>
      </c>
      <c r="AI72" s="23">
        <v>275</v>
      </c>
      <c r="AJ72" s="24">
        <v>467</v>
      </c>
      <c r="AK72" s="23">
        <v>239</v>
      </c>
      <c r="AL72" s="24">
        <v>136</v>
      </c>
      <c r="AM72" s="23">
        <v>151</v>
      </c>
      <c r="AN72" s="24">
        <v>151</v>
      </c>
      <c r="AO72" s="23">
        <v>129</v>
      </c>
      <c r="AP72" s="24">
        <v>151</v>
      </c>
      <c r="AQ72" s="23">
        <v>129</v>
      </c>
      <c r="AR72" s="24">
        <v>0</v>
      </c>
      <c r="AS72" s="20">
        <v>22</v>
      </c>
      <c r="AT72" s="19">
        <v>3225</v>
      </c>
      <c r="AU72" s="23">
        <v>728</v>
      </c>
      <c r="AV72" s="24">
        <v>875</v>
      </c>
      <c r="AW72" s="23">
        <v>294</v>
      </c>
      <c r="AX72" s="24">
        <v>815</v>
      </c>
      <c r="AY72" s="23">
        <v>297</v>
      </c>
      <c r="AZ72" s="24">
        <v>60</v>
      </c>
      <c r="BA72" s="23">
        <v>57</v>
      </c>
      <c r="BB72" s="24">
        <v>1858</v>
      </c>
      <c r="BC72" s="23">
        <v>441</v>
      </c>
      <c r="BD72" s="24">
        <v>1686</v>
      </c>
      <c r="BE72" s="23">
        <v>392</v>
      </c>
      <c r="BF72" s="24">
        <v>172</v>
      </c>
      <c r="BG72" s="23">
        <v>96</v>
      </c>
      <c r="BH72" s="24">
        <v>492</v>
      </c>
      <c r="BI72" s="23">
        <v>160</v>
      </c>
      <c r="BJ72" s="24">
        <v>465</v>
      </c>
      <c r="BK72" s="23">
        <v>152</v>
      </c>
      <c r="BL72" s="24">
        <v>27</v>
      </c>
      <c r="BM72" s="20">
        <v>36</v>
      </c>
      <c r="BN72" s="19">
        <v>17092</v>
      </c>
      <c r="BO72" s="23">
        <v>913</v>
      </c>
      <c r="BP72" s="24">
        <v>3832</v>
      </c>
      <c r="BQ72" s="23">
        <v>417</v>
      </c>
      <c r="BR72" s="24">
        <v>3810</v>
      </c>
      <c r="BS72" s="23">
        <v>416</v>
      </c>
      <c r="BT72" s="26">
        <v>22</v>
      </c>
      <c r="BU72" s="23">
        <v>25</v>
      </c>
      <c r="BV72" s="24">
        <v>11651</v>
      </c>
      <c r="BW72" s="23">
        <v>662</v>
      </c>
      <c r="BX72" s="24">
        <v>11399</v>
      </c>
      <c r="BY72" s="23">
        <v>664</v>
      </c>
      <c r="BZ72" s="24">
        <v>252</v>
      </c>
      <c r="CA72" s="23">
        <v>109</v>
      </c>
      <c r="CB72" s="24">
        <v>1609</v>
      </c>
      <c r="CC72" s="23">
        <v>226</v>
      </c>
      <c r="CD72" s="24">
        <v>1594</v>
      </c>
      <c r="CE72" s="23">
        <v>226</v>
      </c>
      <c r="CF72" s="24">
        <v>15</v>
      </c>
      <c r="CG72" s="20">
        <v>18</v>
      </c>
    </row>
    <row r="73" spans="1:85" x14ac:dyDescent="0.3">
      <c r="A73" t="s">
        <v>145</v>
      </c>
      <c r="B73">
        <v>20721</v>
      </c>
      <c r="C73" t="s">
        <v>146</v>
      </c>
      <c r="D73" s="19">
        <v>29809</v>
      </c>
      <c r="E73" s="20">
        <v>1147</v>
      </c>
      <c r="F73" s="19">
        <v>2185</v>
      </c>
      <c r="G73" s="23">
        <v>1025</v>
      </c>
      <c r="H73" s="24">
        <v>915</v>
      </c>
      <c r="I73" s="23">
        <v>592</v>
      </c>
      <c r="J73" s="24">
        <v>908</v>
      </c>
      <c r="K73" s="23">
        <v>592</v>
      </c>
      <c r="L73" s="24">
        <v>7</v>
      </c>
      <c r="M73" s="23">
        <v>36</v>
      </c>
      <c r="N73" s="24">
        <v>1035</v>
      </c>
      <c r="O73" s="23">
        <v>457</v>
      </c>
      <c r="P73" s="24">
        <v>860</v>
      </c>
      <c r="Q73" s="23">
        <v>402</v>
      </c>
      <c r="R73" s="24">
        <v>175</v>
      </c>
      <c r="S73" s="23">
        <v>162</v>
      </c>
      <c r="T73" s="24">
        <v>235</v>
      </c>
      <c r="U73" s="23">
        <v>157</v>
      </c>
      <c r="V73" s="24">
        <v>222</v>
      </c>
      <c r="W73" s="23">
        <v>153</v>
      </c>
      <c r="X73" s="24">
        <v>13</v>
      </c>
      <c r="Y73" s="20">
        <v>45</v>
      </c>
      <c r="Z73" s="19">
        <v>1113</v>
      </c>
      <c r="AA73" s="23">
        <v>460</v>
      </c>
      <c r="AB73" s="24">
        <v>305</v>
      </c>
      <c r="AC73" s="23">
        <v>157</v>
      </c>
      <c r="AD73" s="24">
        <v>302</v>
      </c>
      <c r="AE73" s="23">
        <v>157</v>
      </c>
      <c r="AF73" s="24">
        <v>3</v>
      </c>
      <c r="AG73" s="23">
        <v>9</v>
      </c>
      <c r="AH73" s="24">
        <v>669</v>
      </c>
      <c r="AI73" s="23">
        <v>320</v>
      </c>
      <c r="AJ73" s="24">
        <v>605</v>
      </c>
      <c r="AK73" s="23">
        <v>314</v>
      </c>
      <c r="AL73" s="24">
        <v>64</v>
      </c>
      <c r="AM73" s="23">
        <v>71</v>
      </c>
      <c r="AN73" s="24">
        <v>139</v>
      </c>
      <c r="AO73" s="23">
        <v>76</v>
      </c>
      <c r="AP73" s="24">
        <v>139</v>
      </c>
      <c r="AQ73" s="23">
        <v>76</v>
      </c>
      <c r="AR73" s="24">
        <v>0</v>
      </c>
      <c r="AS73" s="20">
        <v>25</v>
      </c>
      <c r="AT73" s="19">
        <v>5404</v>
      </c>
      <c r="AU73" s="23">
        <v>1297</v>
      </c>
      <c r="AV73" s="24">
        <v>1344</v>
      </c>
      <c r="AW73" s="23">
        <v>417</v>
      </c>
      <c r="AX73" s="24">
        <v>1300</v>
      </c>
      <c r="AY73" s="23">
        <v>408</v>
      </c>
      <c r="AZ73" s="24">
        <v>44</v>
      </c>
      <c r="BA73" s="23">
        <v>64</v>
      </c>
      <c r="BB73" s="24">
        <v>3360</v>
      </c>
      <c r="BC73" s="23">
        <v>883</v>
      </c>
      <c r="BD73" s="24">
        <v>3027</v>
      </c>
      <c r="BE73" s="23">
        <v>862</v>
      </c>
      <c r="BF73" s="24">
        <v>333</v>
      </c>
      <c r="BG73" s="23">
        <v>197</v>
      </c>
      <c r="BH73" s="24">
        <v>700</v>
      </c>
      <c r="BI73" s="23">
        <v>173</v>
      </c>
      <c r="BJ73" s="24">
        <v>666</v>
      </c>
      <c r="BK73" s="23">
        <v>164</v>
      </c>
      <c r="BL73" s="24">
        <v>34</v>
      </c>
      <c r="BM73" s="20">
        <v>54</v>
      </c>
      <c r="BN73" s="19">
        <v>21107</v>
      </c>
      <c r="BO73" s="23">
        <v>1295</v>
      </c>
      <c r="BP73" s="24">
        <v>4223</v>
      </c>
      <c r="BQ73" s="23">
        <v>568</v>
      </c>
      <c r="BR73" s="24">
        <v>4162</v>
      </c>
      <c r="BS73" s="23">
        <v>571</v>
      </c>
      <c r="BT73" s="26">
        <v>61</v>
      </c>
      <c r="BU73" s="23">
        <v>58</v>
      </c>
      <c r="BV73" s="24">
        <v>13530</v>
      </c>
      <c r="BW73" s="23">
        <v>939</v>
      </c>
      <c r="BX73" s="24">
        <v>13076</v>
      </c>
      <c r="BY73" s="23">
        <v>863</v>
      </c>
      <c r="BZ73" s="24">
        <v>454</v>
      </c>
      <c r="CA73" s="23">
        <v>192</v>
      </c>
      <c r="CB73" s="24">
        <v>3354</v>
      </c>
      <c r="CC73" s="23">
        <v>305</v>
      </c>
      <c r="CD73" s="24">
        <v>3354</v>
      </c>
      <c r="CE73" s="23">
        <v>305</v>
      </c>
      <c r="CF73" s="24">
        <v>0</v>
      </c>
      <c r="CG73" s="20">
        <v>25</v>
      </c>
    </row>
    <row r="74" spans="1:85" x14ac:dyDescent="0.3">
      <c r="A74" t="s">
        <v>147</v>
      </c>
      <c r="B74">
        <v>20722</v>
      </c>
      <c r="C74" t="s">
        <v>148</v>
      </c>
      <c r="D74" s="19">
        <v>5932</v>
      </c>
      <c r="E74" s="20">
        <v>273</v>
      </c>
      <c r="F74" s="19">
        <v>1108</v>
      </c>
      <c r="G74" s="23">
        <v>425</v>
      </c>
      <c r="H74" s="24">
        <v>461</v>
      </c>
      <c r="I74" s="23">
        <v>260</v>
      </c>
      <c r="J74" s="24">
        <v>427</v>
      </c>
      <c r="K74" s="23">
        <v>257</v>
      </c>
      <c r="L74" s="24">
        <v>34</v>
      </c>
      <c r="M74" s="23">
        <v>36</v>
      </c>
      <c r="N74" s="24">
        <v>584</v>
      </c>
      <c r="O74" s="23">
        <v>188</v>
      </c>
      <c r="P74" s="24">
        <v>319</v>
      </c>
      <c r="Q74" s="23">
        <v>119</v>
      </c>
      <c r="R74" s="24">
        <v>265</v>
      </c>
      <c r="S74" s="23">
        <v>118</v>
      </c>
      <c r="T74" s="24">
        <v>63</v>
      </c>
      <c r="U74" s="23">
        <v>29</v>
      </c>
      <c r="V74" s="24">
        <v>63</v>
      </c>
      <c r="W74" s="23">
        <v>29</v>
      </c>
      <c r="X74" s="24">
        <v>0</v>
      </c>
      <c r="Y74" s="20">
        <v>34</v>
      </c>
      <c r="Z74" s="19">
        <v>808</v>
      </c>
      <c r="AA74" s="23">
        <v>269</v>
      </c>
      <c r="AB74" s="24">
        <v>268</v>
      </c>
      <c r="AC74" s="23">
        <v>147</v>
      </c>
      <c r="AD74" s="24">
        <v>257</v>
      </c>
      <c r="AE74" s="23">
        <v>148</v>
      </c>
      <c r="AF74" s="24">
        <v>11</v>
      </c>
      <c r="AG74" s="23">
        <v>19</v>
      </c>
      <c r="AH74" s="24">
        <v>477</v>
      </c>
      <c r="AI74" s="23">
        <v>143</v>
      </c>
      <c r="AJ74" s="24">
        <v>343</v>
      </c>
      <c r="AK74" s="23">
        <v>110</v>
      </c>
      <c r="AL74" s="24">
        <v>134</v>
      </c>
      <c r="AM74" s="23">
        <v>60</v>
      </c>
      <c r="AN74" s="24">
        <v>63</v>
      </c>
      <c r="AO74" s="23">
        <v>23</v>
      </c>
      <c r="AP74" s="24">
        <v>63</v>
      </c>
      <c r="AQ74" s="23">
        <v>23</v>
      </c>
      <c r="AR74" s="24">
        <v>0</v>
      </c>
      <c r="AS74" s="20">
        <v>17</v>
      </c>
      <c r="AT74" s="19">
        <v>2055</v>
      </c>
      <c r="AU74" s="23">
        <v>361</v>
      </c>
      <c r="AV74" s="24">
        <v>554</v>
      </c>
      <c r="AW74" s="23">
        <v>146</v>
      </c>
      <c r="AX74" s="24">
        <v>484</v>
      </c>
      <c r="AY74" s="23">
        <v>136</v>
      </c>
      <c r="AZ74" s="24">
        <v>70</v>
      </c>
      <c r="BA74" s="23">
        <v>46</v>
      </c>
      <c r="BB74" s="24">
        <v>1275</v>
      </c>
      <c r="BC74" s="23">
        <v>229</v>
      </c>
      <c r="BD74" s="24">
        <v>947</v>
      </c>
      <c r="BE74" s="23">
        <v>178</v>
      </c>
      <c r="BF74" s="24">
        <v>328</v>
      </c>
      <c r="BG74" s="23">
        <v>113</v>
      </c>
      <c r="BH74" s="24">
        <v>226</v>
      </c>
      <c r="BI74" s="23">
        <v>58</v>
      </c>
      <c r="BJ74" s="24">
        <v>215</v>
      </c>
      <c r="BK74" s="23">
        <v>56</v>
      </c>
      <c r="BL74" s="24">
        <v>11</v>
      </c>
      <c r="BM74" s="20">
        <v>9</v>
      </c>
      <c r="BN74" s="19">
        <v>1961</v>
      </c>
      <c r="BO74" s="23">
        <v>254</v>
      </c>
      <c r="BP74" s="24">
        <v>211</v>
      </c>
      <c r="BQ74" s="23">
        <v>64</v>
      </c>
      <c r="BR74" s="24">
        <v>180</v>
      </c>
      <c r="BS74" s="23">
        <v>53</v>
      </c>
      <c r="BT74" s="26">
        <v>31</v>
      </c>
      <c r="BU74" s="23">
        <v>34</v>
      </c>
      <c r="BV74" s="24">
        <v>1430</v>
      </c>
      <c r="BW74" s="23">
        <v>201</v>
      </c>
      <c r="BX74" s="24">
        <v>1130</v>
      </c>
      <c r="BY74" s="23">
        <v>166</v>
      </c>
      <c r="BZ74" s="24">
        <v>300</v>
      </c>
      <c r="CA74" s="23">
        <v>106</v>
      </c>
      <c r="CB74" s="24">
        <v>320</v>
      </c>
      <c r="CC74" s="23">
        <v>54</v>
      </c>
      <c r="CD74" s="24">
        <v>310</v>
      </c>
      <c r="CE74" s="23">
        <v>50</v>
      </c>
      <c r="CF74" s="24">
        <v>10</v>
      </c>
      <c r="CG74" s="20">
        <v>14</v>
      </c>
    </row>
    <row r="75" spans="1:85" x14ac:dyDescent="0.3">
      <c r="A75" t="s">
        <v>149</v>
      </c>
      <c r="B75">
        <v>20723</v>
      </c>
      <c r="C75" t="s">
        <v>150</v>
      </c>
      <c r="D75" s="19">
        <v>34110</v>
      </c>
      <c r="E75" s="20">
        <v>1124</v>
      </c>
      <c r="F75" s="19">
        <v>3036</v>
      </c>
      <c r="G75" s="23">
        <v>1101</v>
      </c>
      <c r="H75" s="24">
        <v>1004</v>
      </c>
      <c r="I75" s="23">
        <v>543</v>
      </c>
      <c r="J75" s="24">
        <v>900</v>
      </c>
      <c r="K75" s="23">
        <v>504</v>
      </c>
      <c r="L75" s="24">
        <v>104</v>
      </c>
      <c r="M75" s="23">
        <v>115</v>
      </c>
      <c r="N75" s="24">
        <v>1709</v>
      </c>
      <c r="O75" s="23">
        <v>573</v>
      </c>
      <c r="P75" s="24">
        <v>1281</v>
      </c>
      <c r="Q75" s="23">
        <v>467</v>
      </c>
      <c r="R75" s="24">
        <v>428</v>
      </c>
      <c r="S75" s="23">
        <v>329</v>
      </c>
      <c r="T75" s="24">
        <v>323</v>
      </c>
      <c r="U75" s="23">
        <v>221</v>
      </c>
      <c r="V75" s="24">
        <v>292</v>
      </c>
      <c r="W75" s="23">
        <v>208</v>
      </c>
      <c r="X75" s="24">
        <v>31</v>
      </c>
      <c r="Y75" s="20">
        <v>69</v>
      </c>
      <c r="Z75" s="19">
        <v>1846</v>
      </c>
      <c r="AA75" s="23">
        <v>697</v>
      </c>
      <c r="AB75" s="24">
        <v>668</v>
      </c>
      <c r="AC75" s="23">
        <v>385</v>
      </c>
      <c r="AD75" s="24">
        <v>644</v>
      </c>
      <c r="AE75" s="23">
        <v>384</v>
      </c>
      <c r="AF75" s="24">
        <v>24</v>
      </c>
      <c r="AG75" s="23">
        <v>29</v>
      </c>
      <c r="AH75" s="24">
        <v>1028</v>
      </c>
      <c r="AI75" s="23">
        <v>354</v>
      </c>
      <c r="AJ75" s="24">
        <v>681</v>
      </c>
      <c r="AK75" s="23">
        <v>250</v>
      </c>
      <c r="AL75" s="24">
        <v>347</v>
      </c>
      <c r="AM75" s="23">
        <v>197</v>
      </c>
      <c r="AN75" s="24">
        <v>150</v>
      </c>
      <c r="AO75" s="23">
        <v>94</v>
      </c>
      <c r="AP75" s="24">
        <v>150</v>
      </c>
      <c r="AQ75" s="23">
        <v>94</v>
      </c>
      <c r="AR75" s="24">
        <v>0</v>
      </c>
      <c r="AS75" s="20">
        <v>25</v>
      </c>
      <c r="AT75" s="19">
        <v>7956</v>
      </c>
      <c r="AU75" s="23">
        <v>1125</v>
      </c>
      <c r="AV75" s="24">
        <v>2778</v>
      </c>
      <c r="AW75" s="23">
        <v>572</v>
      </c>
      <c r="AX75" s="24">
        <v>2693</v>
      </c>
      <c r="AY75" s="23">
        <v>566</v>
      </c>
      <c r="AZ75" s="24">
        <v>85</v>
      </c>
      <c r="BA75" s="23">
        <v>67</v>
      </c>
      <c r="BB75" s="24">
        <v>4766</v>
      </c>
      <c r="BC75" s="23">
        <v>655</v>
      </c>
      <c r="BD75" s="24">
        <v>4123</v>
      </c>
      <c r="BE75" s="23">
        <v>590</v>
      </c>
      <c r="BF75" s="24">
        <v>643</v>
      </c>
      <c r="BG75" s="23">
        <v>252</v>
      </c>
      <c r="BH75" s="24">
        <v>412</v>
      </c>
      <c r="BI75" s="23">
        <v>132</v>
      </c>
      <c r="BJ75" s="24">
        <v>412</v>
      </c>
      <c r="BK75" s="23">
        <v>132</v>
      </c>
      <c r="BL75" s="24">
        <v>0</v>
      </c>
      <c r="BM75" s="20">
        <v>25</v>
      </c>
      <c r="BN75" s="19">
        <v>21272</v>
      </c>
      <c r="BO75" s="23">
        <v>1344</v>
      </c>
      <c r="BP75" s="24">
        <v>5441</v>
      </c>
      <c r="BQ75" s="23">
        <v>628</v>
      </c>
      <c r="BR75" s="24">
        <v>5091</v>
      </c>
      <c r="BS75" s="23">
        <v>580</v>
      </c>
      <c r="BT75" s="26">
        <v>350</v>
      </c>
      <c r="BU75" s="23">
        <v>187</v>
      </c>
      <c r="BV75" s="24">
        <v>14260</v>
      </c>
      <c r="BW75" s="23">
        <v>810</v>
      </c>
      <c r="BX75" s="24">
        <v>13461</v>
      </c>
      <c r="BY75" s="23">
        <v>754</v>
      </c>
      <c r="BZ75" s="24">
        <v>799</v>
      </c>
      <c r="CA75" s="23">
        <v>274</v>
      </c>
      <c r="CB75" s="24">
        <v>1571</v>
      </c>
      <c r="CC75" s="23">
        <v>255</v>
      </c>
      <c r="CD75" s="24">
        <v>1440</v>
      </c>
      <c r="CE75" s="23">
        <v>236</v>
      </c>
      <c r="CF75" s="24">
        <v>131</v>
      </c>
      <c r="CG75" s="20">
        <v>97</v>
      </c>
    </row>
    <row r="76" spans="1:85" x14ac:dyDescent="0.3">
      <c r="A76" t="s">
        <v>151</v>
      </c>
      <c r="B76">
        <v>20724</v>
      </c>
      <c r="C76" t="s">
        <v>152</v>
      </c>
      <c r="D76" s="19">
        <v>17473</v>
      </c>
      <c r="E76" s="20">
        <v>1041</v>
      </c>
      <c r="F76" s="19">
        <v>1390</v>
      </c>
      <c r="G76" s="23">
        <v>830</v>
      </c>
      <c r="H76" s="24">
        <v>540</v>
      </c>
      <c r="I76" s="23">
        <v>442</v>
      </c>
      <c r="J76" s="24">
        <v>452</v>
      </c>
      <c r="K76" s="23">
        <v>413</v>
      </c>
      <c r="L76" s="24">
        <v>88</v>
      </c>
      <c r="M76" s="23">
        <v>113</v>
      </c>
      <c r="N76" s="24">
        <v>776</v>
      </c>
      <c r="O76" s="23">
        <v>439</v>
      </c>
      <c r="P76" s="24">
        <v>486</v>
      </c>
      <c r="Q76" s="23">
        <v>308</v>
      </c>
      <c r="R76" s="24">
        <v>290</v>
      </c>
      <c r="S76" s="23">
        <v>301</v>
      </c>
      <c r="T76" s="24">
        <v>74</v>
      </c>
      <c r="U76" s="23">
        <v>97</v>
      </c>
      <c r="V76" s="24">
        <v>74</v>
      </c>
      <c r="W76" s="23">
        <v>97</v>
      </c>
      <c r="X76" s="24">
        <v>0</v>
      </c>
      <c r="Y76" s="20">
        <v>38</v>
      </c>
      <c r="Z76" s="19">
        <v>630</v>
      </c>
      <c r="AA76" s="23">
        <v>442</v>
      </c>
      <c r="AB76" s="24">
        <v>135</v>
      </c>
      <c r="AC76" s="23">
        <v>123</v>
      </c>
      <c r="AD76" s="24">
        <v>135</v>
      </c>
      <c r="AE76" s="23">
        <v>123</v>
      </c>
      <c r="AF76" s="24">
        <v>0</v>
      </c>
      <c r="AG76" s="23">
        <v>19</v>
      </c>
      <c r="AH76" s="24">
        <v>409</v>
      </c>
      <c r="AI76" s="23">
        <v>312</v>
      </c>
      <c r="AJ76" s="24">
        <v>362</v>
      </c>
      <c r="AK76" s="23">
        <v>295</v>
      </c>
      <c r="AL76" s="24">
        <v>47</v>
      </c>
      <c r="AM76" s="23">
        <v>51</v>
      </c>
      <c r="AN76" s="24">
        <v>86</v>
      </c>
      <c r="AO76" s="23">
        <v>95</v>
      </c>
      <c r="AP76" s="24">
        <v>86</v>
      </c>
      <c r="AQ76" s="23">
        <v>95</v>
      </c>
      <c r="AR76" s="24">
        <v>0</v>
      </c>
      <c r="AS76" s="20">
        <v>19</v>
      </c>
      <c r="AT76" s="19">
        <v>5034</v>
      </c>
      <c r="AU76" s="23">
        <v>1240</v>
      </c>
      <c r="AV76" s="24">
        <v>1617</v>
      </c>
      <c r="AW76" s="23">
        <v>532</v>
      </c>
      <c r="AX76" s="24">
        <v>1601</v>
      </c>
      <c r="AY76" s="23">
        <v>538</v>
      </c>
      <c r="AZ76" s="24">
        <v>16</v>
      </c>
      <c r="BA76" s="23">
        <v>39</v>
      </c>
      <c r="BB76" s="24">
        <v>2991</v>
      </c>
      <c r="BC76" s="23">
        <v>754</v>
      </c>
      <c r="BD76" s="24">
        <v>2770</v>
      </c>
      <c r="BE76" s="23">
        <v>721</v>
      </c>
      <c r="BF76" s="24">
        <v>221</v>
      </c>
      <c r="BG76" s="23">
        <v>170</v>
      </c>
      <c r="BH76" s="24">
        <v>426</v>
      </c>
      <c r="BI76" s="23">
        <v>178</v>
      </c>
      <c r="BJ76" s="24">
        <v>426</v>
      </c>
      <c r="BK76" s="23">
        <v>178</v>
      </c>
      <c r="BL76" s="24">
        <v>0</v>
      </c>
      <c r="BM76" s="20">
        <v>19</v>
      </c>
      <c r="BN76" s="19">
        <v>10419</v>
      </c>
      <c r="BO76" s="23">
        <v>1241</v>
      </c>
      <c r="BP76" s="24">
        <v>1923</v>
      </c>
      <c r="BQ76" s="23">
        <v>376</v>
      </c>
      <c r="BR76" s="24">
        <v>1828</v>
      </c>
      <c r="BS76" s="23">
        <v>374</v>
      </c>
      <c r="BT76" s="26">
        <v>95</v>
      </c>
      <c r="BU76" s="23">
        <v>148</v>
      </c>
      <c r="BV76" s="24">
        <v>7922</v>
      </c>
      <c r="BW76" s="23">
        <v>970</v>
      </c>
      <c r="BX76" s="24">
        <v>7352</v>
      </c>
      <c r="BY76" s="23">
        <v>901</v>
      </c>
      <c r="BZ76" s="24">
        <v>570</v>
      </c>
      <c r="CA76" s="23">
        <v>311</v>
      </c>
      <c r="CB76" s="24">
        <v>574</v>
      </c>
      <c r="CC76" s="23">
        <v>177</v>
      </c>
      <c r="CD76" s="24">
        <v>527</v>
      </c>
      <c r="CE76" s="23">
        <v>169</v>
      </c>
      <c r="CF76" s="24">
        <v>47</v>
      </c>
      <c r="CG76" s="20">
        <v>63</v>
      </c>
    </row>
    <row r="77" spans="1:85" x14ac:dyDescent="0.3">
      <c r="A77" t="s">
        <v>153</v>
      </c>
      <c r="B77">
        <v>20732</v>
      </c>
      <c r="C77" t="s">
        <v>154</v>
      </c>
      <c r="D77" s="19">
        <v>9815</v>
      </c>
      <c r="E77" s="20">
        <v>456</v>
      </c>
      <c r="F77" s="19">
        <v>999</v>
      </c>
      <c r="G77" s="23">
        <v>474</v>
      </c>
      <c r="H77" s="24">
        <v>246</v>
      </c>
      <c r="I77" s="23">
        <v>212</v>
      </c>
      <c r="J77" s="24">
        <v>187</v>
      </c>
      <c r="K77" s="23">
        <v>184</v>
      </c>
      <c r="L77" s="24">
        <v>59</v>
      </c>
      <c r="M77" s="23">
        <v>78</v>
      </c>
      <c r="N77" s="24">
        <v>640</v>
      </c>
      <c r="O77" s="23">
        <v>326</v>
      </c>
      <c r="P77" s="24">
        <v>462</v>
      </c>
      <c r="Q77" s="23">
        <v>284</v>
      </c>
      <c r="R77" s="24">
        <v>178</v>
      </c>
      <c r="S77" s="23">
        <v>165</v>
      </c>
      <c r="T77" s="24">
        <v>113</v>
      </c>
      <c r="U77" s="23">
        <v>111</v>
      </c>
      <c r="V77" s="24">
        <v>113</v>
      </c>
      <c r="W77" s="23">
        <v>111</v>
      </c>
      <c r="X77" s="24">
        <v>0</v>
      </c>
      <c r="Y77" s="20">
        <v>38</v>
      </c>
      <c r="Z77" s="19">
        <v>353</v>
      </c>
      <c r="AA77" s="23">
        <v>203</v>
      </c>
      <c r="AB77" s="24">
        <v>49</v>
      </c>
      <c r="AC77" s="23">
        <v>58</v>
      </c>
      <c r="AD77" s="24">
        <v>49</v>
      </c>
      <c r="AE77" s="23">
        <v>58</v>
      </c>
      <c r="AF77" s="24">
        <v>0</v>
      </c>
      <c r="AG77" s="23">
        <v>19</v>
      </c>
      <c r="AH77" s="24">
        <v>221</v>
      </c>
      <c r="AI77" s="23">
        <v>155</v>
      </c>
      <c r="AJ77" s="24">
        <v>181</v>
      </c>
      <c r="AK77" s="23">
        <v>136</v>
      </c>
      <c r="AL77" s="24">
        <v>40</v>
      </c>
      <c r="AM77" s="23">
        <v>40</v>
      </c>
      <c r="AN77" s="24">
        <v>83</v>
      </c>
      <c r="AO77" s="23">
        <v>62</v>
      </c>
      <c r="AP77" s="24">
        <v>83</v>
      </c>
      <c r="AQ77" s="23">
        <v>62</v>
      </c>
      <c r="AR77" s="24">
        <v>0</v>
      </c>
      <c r="AS77" s="20">
        <v>19</v>
      </c>
      <c r="AT77" s="19">
        <v>2177</v>
      </c>
      <c r="AU77" s="23">
        <v>535</v>
      </c>
      <c r="AV77" s="24">
        <v>534</v>
      </c>
      <c r="AW77" s="23">
        <v>218</v>
      </c>
      <c r="AX77" s="24">
        <v>488</v>
      </c>
      <c r="AY77" s="23">
        <v>218</v>
      </c>
      <c r="AZ77" s="24">
        <v>46</v>
      </c>
      <c r="BA77" s="23">
        <v>46</v>
      </c>
      <c r="BB77" s="24">
        <v>1313</v>
      </c>
      <c r="BC77" s="23">
        <v>371</v>
      </c>
      <c r="BD77" s="24">
        <v>1240</v>
      </c>
      <c r="BE77" s="23">
        <v>370</v>
      </c>
      <c r="BF77" s="24">
        <v>73</v>
      </c>
      <c r="BG77" s="23">
        <v>56</v>
      </c>
      <c r="BH77" s="24">
        <v>330</v>
      </c>
      <c r="BI77" s="23">
        <v>144</v>
      </c>
      <c r="BJ77" s="24">
        <v>330</v>
      </c>
      <c r="BK77" s="23">
        <v>144</v>
      </c>
      <c r="BL77" s="24">
        <v>0</v>
      </c>
      <c r="BM77" s="20">
        <v>19</v>
      </c>
      <c r="BN77" s="19">
        <v>6286</v>
      </c>
      <c r="BO77" s="23">
        <v>602</v>
      </c>
      <c r="BP77" s="24">
        <v>1617</v>
      </c>
      <c r="BQ77" s="23">
        <v>239</v>
      </c>
      <c r="BR77" s="24">
        <v>1617</v>
      </c>
      <c r="BS77" s="23">
        <v>239</v>
      </c>
      <c r="BT77" s="26">
        <v>0</v>
      </c>
      <c r="BU77" s="23">
        <v>19</v>
      </c>
      <c r="BV77" s="24">
        <v>4139</v>
      </c>
      <c r="BW77" s="23">
        <v>442</v>
      </c>
      <c r="BX77" s="24">
        <v>4046</v>
      </c>
      <c r="BY77" s="23">
        <v>445</v>
      </c>
      <c r="BZ77" s="24">
        <v>93</v>
      </c>
      <c r="CA77" s="23">
        <v>52</v>
      </c>
      <c r="CB77" s="24">
        <v>530</v>
      </c>
      <c r="CC77" s="23">
        <v>163</v>
      </c>
      <c r="CD77" s="24">
        <v>530</v>
      </c>
      <c r="CE77" s="23">
        <v>163</v>
      </c>
      <c r="CF77" s="24">
        <v>0</v>
      </c>
      <c r="CG77" s="20">
        <v>19</v>
      </c>
    </row>
    <row r="78" spans="1:85" x14ac:dyDescent="0.3">
      <c r="A78" t="s">
        <v>155</v>
      </c>
      <c r="B78">
        <v>20733</v>
      </c>
      <c r="C78" t="s">
        <v>156</v>
      </c>
      <c r="D78" s="19">
        <v>2909</v>
      </c>
      <c r="E78" s="20">
        <v>357</v>
      </c>
      <c r="F78" s="19">
        <v>108</v>
      </c>
      <c r="G78" s="23">
        <v>73</v>
      </c>
      <c r="H78" s="24">
        <v>0</v>
      </c>
      <c r="I78" s="23">
        <v>24</v>
      </c>
      <c r="J78" s="24">
        <v>0</v>
      </c>
      <c r="K78" s="23">
        <v>24</v>
      </c>
      <c r="L78" s="24">
        <v>0</v>
      </c>
      <c r="M78" s="23">
        <v>24</v>
      </c>
      <c r="N78" s="24">
        <v>82</v>
      </c>
      <c r="O78" s="23">
        <v>65</v>
      </c>
      <c r="P78" s="24">
        <v>62</v>
      </c>
      <c r="Q78" s="23">
        <v>63</v>
      </c>
      <c r="R78" s="24">
        <v>20</v>
      </c>
      <c r="S78" s="23">
        <v>34</v>
      </c>
      <c r="T78" s="24">
        <v>26</v>
      </c>
      <c r="U78" s="23">
        <v>33</v>
      </c>
      <c r="V78" s="24">
        <v>26</v>
      </c>
      <c r="W78" s="23">
        <v>33</v>
      </c>
      <c r="X78" s="24">
        <v>0</v>
      </c>
      <c r="Y78" s="20">
        <v>24</v>
      </c>
      <c r="Z78" s="19">
        <v>65</v>
      </c>
      <c r="AA78" s="23">
        <v>56</v>
      </c>
      <c r="AB78" s="24">
        <v>20</v>
      </c>
      <c r="AC78" s="23">
        <v>31</v>
      </c>
      <c r="AD78" s="24">
        <v>20</v>
      </c>
      <c r="AE78" s="23">
        <v>31</v>
      </c>
      <c r="AF78" s="24">
        <v>0</v>
      </c>
      <c r="AG78" s="23">
        <v>12</v>
      </c>
      <c r="AH78" s="24">
        <v>8</v>
      </c>
      <c r="AI78" s="23">
        <v>14</v>
      </c>
      <c r="AJ78" s="24">
        <v>8</v>
      </c>
      <c r="AK78" s="23">
        <v>14</v>
      </c>
      <c r="AL78" s="24">
        <v>0</v>
      </c>
      <c r="AM78" s="23">
        <v>12</v>
      </c>
      <c r="AN78" s="24">
        <v>37</v>
      </c>
      <c r="AO78" s="23">
        <v>36</v>
      </c>
      <c r="AP78" s="24">
        <v>37</v>
      </c>
      <c r="AQ78" s="23">
        <v>36</v>
      </c>
      <c r="AR78" s="24">
        <v>0</v>
      </c>
      <c r="AS78" s="20">
        <v>12</v>
      </c>
      <c r="AT78" s="19">
        <v>818</v>
      </c>
      <c r="AU78" s="23">
        <v>308</v>
      </c>
      <c r="AV78" s="24">
        <v>268</v>
      </c>
      <c r="AW78" s="23">
        <v>145</v>
      </c>
      <c r="AX78" s="24">
        <v>268</v>
      </c>
      <c r="AY78" s="23">
        <v>145</v>
      </c>
      <c r="AZ78" s="24">
        <v>0</v>
      </c>
      <c r="BA78" s="23">
        <v>12</v>
      </c>
      <c r="BB78" s="24">
        <v>481</v>
      </c>
      <c r="BC78" s="23">
        <v>167</v>
      </c>
      <c r="BD78" s="24">
        <v>457</v>
      </c>
      <c r="BE78" s="23">
        <v>167</v>
      </c>
      <c r="BF78" s="24">
        <v>24</v>
      </c>
      <c r="BG78" s="23">
        <v>29</v>
      </c>
      <c r="BH78" s="24">
        <v>69</v>
      </c>
      <c r="BI78" s="23">
        <v>44</v>
      </c>
      <c r="BJ78" s="24">
        <v>69</v>
      </c>
      <c r="BK78" s="23">
        <v>44</v>
      </c>
      <c r="BL78" s="24">
        <v>0</v>
      </c>
      <c r="BM78" s="20">
        <v>12</v>
      </c>
      <c r="BN78" s="19">
        <v>1918</v>
      </c>
      <c r="BO78" s="23">
        <v>355</v>
      </c>
      <c r="BP78" s="24">
        <v>479</v>
      </c>
      <c r="BQ78" s="23">
        <v>163</v>
      </c>
      <c r="BR78" s="24">
        <v>479</v>
      </c>
      <c r="BS78" s="23">
        <v>163</v>
      </c>
      <c r="BT78" s="26">
        <v>0</v>
      </c>
      <c r="BU78" s="23">
        <v>12</v>
      </c>
      <c r="BV78" s="24">
        <v>1202</v>
      </c>
      <c r="BW78" s="23">
        <v>258</v>
      </c>
      <c r="BX78" s="24">
        <v>1202</v>
      </c>
      <c r="BY78" s="23">
        <v>258</v>
      </c>
      <c r="BZ78" s="24">
        <v>0</v>
      </c>
      <c r="CA78" s="23">
        <v>12</v>
      </c>
      <c r="CB78" s="24">
        <v>237</v>
      </c>
      <c r="CC78" s="23">
        <v>69</v>
      </c>
      <c r="CD78" s="24">
        <v>237</v>
      </c>
      <c r="CE78" s="23">
        <v>69</v>
      </c>
      <c r="CF78" s="24">
        <v>0</v>
      </c>
      <c r="CG78" s="20">
        <v>12</v>
      </c>
    </row>
    <row r="79" spans="1:85" x14ac:dyDescent="0.3">
      <c r="A79" t="s">
        <v>157</v>
      </c>
      <c r="B79">
        <v>20735</v>
      </c>
      <c r="C79" t="s">
        <v>158</v>
      </c>
      <c r="D79" s="19">
        <v>37578</v>
      </c>
      <c r="E79" s="20">
        <v>1101</v>
      </c>
      <c r="F79" s="19">
        <v>2810</v>
      </c>
      <c r="G79" s="23">
        <v>788</v>
      </c>
      <c r="H79" s="24">
        <v>847</v>
      </c>
      <c r="I79" s="23">
        <v>394</v>
      </c>
      <c r="J79" s="24">
        <v>676</v>
      </c>
      <c r="K79" s="23">
        <v>317</v>
      </c>
      <c r="L79" s="24">
        <v>171</v>
      </c>
      <c r="M79" s="23">
        <v>207</v>
      </c>
      <c r="N79" s="24">
        <v>1379</v>
      </c>
      <c r="O79" s="23">
        <v>450</v>
      </c>
      <c r="P79" s="24">
        <v>943</v>
      </c>
      <c r="Q79" s="23">
        <v>378</v>
      </c>
      <c r="R79" s="24">
        <v>436</v>
      </c>
      <c r="S79" s="23">
        <v>273</v>
      </c>
      <c r="T79" s="24">
        <v>584</v>
      </c>
      <c r="U79" s="23">
        <v>226</v>
      </c>
      <c r="V79" s="24">
        <v>584</v>
      </c>
      <c r="W79" s="23">
        <v>226</v>
      </c>
      <c r="X79" s="24">
        <v>0</v>
      </c>
      <c r="Y79" s="20">
        <v>50</v>
      </c>
      <c r="Z79" s="19">
        <v>1405</v>
      </c>
      <c r="AA79" s="23">
        <v>537</v>
      </c>
      <c r="AB79" s="24">
        <v>383</v>
      </c>
      <c r="AC79" s="23">
        <v>230</v>
      </c>
      <c r="AD79" s="24">
        <v>383</v>
      </c>
      <c r="AE79" s="23">
        <v>230</v>
      </c>
      <c r="AF79" s="24">
        <v>0</v>
      </c>
      <c r="AG79" s="23">
        <v>25</v>
      </c>
      <c r="AH79" s="24">
        <v>790</v>
      </c>
      <c r="AI79" s="23">
        <v>330</v>
      </c>
      <c r="AJ79" s="24">
        <v>684</v>
      </c>
      <c r="AK79" s="23">
        <v>305</v>
      </c>
      <c r="AL79" s="24">
        <v>106</v>
      </c>
      <c r="AM79" s="23">
        <v>85</v>
      </c>
      <c r="AN79" s="24">
        <v>232</v>
      </c>
      <c r="AO79" s="23">
        <v>129</v>
      </c>
      <c r="AP79" s="24">
        <v>232</v>
      </c>
      <c r="AQ79" s="23">
        <v>129</v>
      </c>
      <c r="AR79" s="24">
        <v>0</v>
      </c>
      <c r="AS79" s="20">
        <v>25</v>
      </c>
      <c r="AT79" s="19">
        <v>8620</v>
      </c>
      <c r="AU79" s="23">
        <v>962</v>
      </c>
      <c r="AV79" s="24">
        <v>3003</v>
      </c>
      <c r="AW79" s="23">
        <v>537</v>
      </c>
      <c r="AX79" s="24">
        <v>2886</v>
      </c>
      <c r="AY79" s="23">
        <v>530</v>
      </c>
      <c r="AZ79" s="24">
        <v>117</v>
      </c>
      <c r="BA79" s="23">
        <v>85</v>
      </c>
      <c r="BB79" s="24">
        <v>4679</v>
      </c>
      <c r="BC79" s="23">
        <v>539</v>
      </c>
      <c r="BD79" s="24">
        <v>4193</v>
      </c>
      <c r="BE79" s="23">
        <v>509</v>
      </c>
      <c r="BF79" s="24">
        <v>486</v>
      </c>
      <c r="BG79" s="23">
        <v>186</v>
      </c>
      <c r="BH79" s="24">
        <v>938</v>
      </c>
      <c r="BI79" s="23">
        <v>148</v>
      </c>
      <c r="BJ79" s="24">
        <v>938</v>
      </c>
      <c r="BK79" s="23">
        <v>148</v>
      </c>
      <c r="BL79" s="24">
        <v>0</v>
      </c>
      <c r="BM79" s="20">
        <v>25</v>
      </c>
      <c r="BN79" s="19">
        <v>24743</v>
      </c>
      <c r="BO79" s="23">
        <v>1098</v>
      </c>
      <c r="BP79" s="24">
        <v>4353</v>
      </c>
      <c r="BQ79" s="23">
        <v>445</v>
      </c>
      <c r="BR79" s="24">
        <v>4239</v>
      </c>
      <c r="BS79" s="23">
        <v>441</v>
      </c>
      <c r="BT79" s="26">
        <v>114</v>
      </c>
      <c r="BU79" s="23">
        <v>69</v>
      </c>
      <c r="BV79" s="24">
        <v>16958</v>
      </c>
      <c r="BW79" s="23">
        <v>834</v>
      </c>
      <c r="BX79" s="24">
        <v>16100</v>
      </c>
      <c r="BY79" s="23">
        <v>783</v>
      </c>
      <c r="BZ79" s="24">
        <v>858</v>
      </c>
      <c r="CA79" s="23">
        <v>234</v>
      </c>
      <c r="CB79" s="24">
        <v>3432</v>
      </c>
      <c r="CC79" s="23">
        <v>316</v>
      </c>
      <c r="CD79" s="24">
        <v>3403</v>
      </c>
      <c r="CE79" s="23">
        <v>308</v>
      </c>
      <c r="CF79" s="24">
        <v>29</v>
      </c>
      <c r="CG79" s="20">
        <v>49</v>
      </c>
    </row>
    <row r="80" spans="1:85" x14ac:dyDescent="0.3">
      <c r="A80" t="s">
        <v>159</v>
      </c>
      <c r="B80">
        <v>20736</v>
      </c>
      <c r="C80" t="s">
        <v>160</v>
      </c>
      <c r="D80" s="19">
        <v>9395</v>
      </c>
      <c r="E80" s="20">
        <v>640</v>
      </c>
      <c r="F80" s="19">
        <v>527</v>
      </c>
      <c r="G80" s="23">
        <v>352</v>
      </c>
      <c r="H80" s="24">
        <v>123</v>
      </c>
      <c r="I80" s="23">
        <v>155</v>
      </c>
      <c r="J80" s="24">
        <v>123</v>
      </c>
      <c r="K80" s="23">
        <v>155</v>
      </c>
      <c r="L80" s="24">
        <v>0</v>
      </c>
      <c r="M80" s="23">
        <v>34</v>
      </c>
      <c r="N80" s="24">
        <v>312</v>
      </c>
      <c r="O80" s="23">
        <v>199</v>
      </c>
      <c r="P80" s="24">
        <v>232</v>
      </c>
      <c r="Q80" s="23">
        <v>174</v>
      </c>
      <c r="R80" s="24">
        <v>80</v>
      </c>
      <c r="S80" s="23">
        <v>94</v>
      </c>
      <c r="T80" s="24">
        <v>92</v>
      </c>
      <c r="U80" s="23">
        <v>105</v>
      </c>
      <c r="V80" s="24">
        <v>92</v>
      </c>
      <c r="W80" s="23">
        <v>105</v>
      </c>
      <c r="X80" s="24">
        <v>0</v>
      </c>
      <c r="Y80" s="20">
        <v>34</v>
      </c>
      <c r="Z80" s="19">
        <v>182</v>
      </c>
      <c r="AA80" s="23">
        <v>174</v>
      </c>
      <c r="AB80" s="24">
        <v>158</v>
      </c>
      <c r="AC80" s="23">
        <v>156</v>
      </c>
      <c r="AD80" s="24">
        <v>158</v>
      </c>
      <c r="AE80" s="23">
        <v>156</v>
      </c>
      <c r="AF80" s="24">
        <v>0</v>
      </c>
      <c r="AG80" s="23">
        <v>17</v>
      </c>
      <c r="AH80" s="24">
        <v>24</v>
      </c>
      <c r="AI80" s="23">
        <v>21</v>
      </c>
      <c r="AJ80" s="24">
        <v>24</v>
      </c>
      <c r="AK80" s="23">
        <v>21</v>
      </c>
      <c r="AL80" s="24">
        <v>0</v>
      </c>
      <c r="AM80" s="23">
        <v>17</v>
      </c>
      <c r="AN80" s="24">
        <v>0</v>
      </c>
      <c r="AO80" s="23">
        <v>17</v>
      </c>
      <c r="AP80" s="24">
        <v>0</v>
      </c>
      <c r="AQ80" s="23">
        <v>17</v>
      </c>
      <c r="AR80" s="24">
        <v>0</v>
      </c>
      <c r="AS80" s="20">
        <v>17</v>
      </c>
      <c r="AT80" s="19">
        <v>1373</v>
      </c>
      <c r="AU80" s="23">
        <v>349</v>
      </c>
      <c r="AV80" s="24">
        <v>397</v>
      </c>
      <c r="AW80" s="23">
        <v>149</v>
      </c>
      <c r="AX80" s="24">
        <v>397</v>
      </c>
      <c r="AY80" s="23">
        <v>149</v>
      </c>
      <c r="AZ80" s="24">
        <v>0</v>
      </c>
      <c r="BA80" s="23">
        <v>17</v>
      </c>
      <c r="BB80" s="24">
        <v>712</v>
      </c>
      <c r="BC80" s="23">
        <v>209</v>
      </c>
      <c r="BD80" s="24">
        <v>667</v>
      </c>
      <c r="BE80" s="23">
        <v>200</v>
      </c>
      <c r="BF80" s="24">
        <v>45</v>
      </c>
      <c r="BG80" s="23">
        <v>51</v>
      </c>
      <c r="BH80" s="24">
        <v>264</v>
      </c>
      <c r="BI80" s="23">
        <v>113</v>
      </c>
      <c r="BJ80" s="24">
        <v>264</v>
      </c>
      <c r="BK80" s="23">
        <v>113</v>
      </c>
      <c r="BL80" s="24">
        <v>0</v>
      </c>
      <c r="BM80" s="20">
        <v>17</v>
      </c>
      <c r="BN80" s="19">
        <v>7313</v>
      </c>
      <c r="BO80" s="23">
        <v>730</v>
      </c>
      <c r="BP80" s="24">
        <v>1847</v>
      </c>
      <c r="BQ80" s="23">
        <v>334</v>
      </c>
      <c r="BR80" s="24">
        <v>1847</v>
      </c>
      <c r="BS80" s="23">
        <v>334</v>
      </c>
      <c r="BT80" s="26">
        <v>0</v>
      </c>
      <c r="BU80" s="23">
        <v>17</v>
      </c>
      <c r="BV80" s="24">
        <v>4660</v>
      </c>
      <c r="BW80" s="23">
        <v>490</v>
      </c>
      <c r="BX80" s="24">
        <v>4612</v>
      </c>
      <c r="BY80" s="23">
        <v>495</v>
      </c>
      <c r="BZ80" s="24">
        <v>48</v>
      </c>
      <c r="CA80" s="23">
        <v>38</v>
      </c>
      <c r="CB80" s="24">
        <v>806</v>
      </c>
      <c r="CC80" s="23">
        <v>154</v>
      </c>
      <c r="CD80" s="24">
        <v>806</v>
      </c>
      <c r="CE80" s="23">
        <v>154</v>
      </c>
      <c r="CF80" s="24">
        <v>0</v>
      </c>
      <c r="CG80" s="20">
        <v>17</v>
      </c>
    </row>
    <row r="81" spans="1:85" x14ac:dyDescent="0.3">
      <c r="A81" t="s">
        <v>161</v>
      </c>
      <c r="B81">
        <v>20737</v>
      </c>
      <c r="C81" t="s">
        <v>162</v>
      </c>
      <c r="D81" s="19">
        <v>21912</v>
      </c>
      <c r="E81" s="20">
        <v>999</v>
      </c>
      <c r="F81" s="19">
        <v>5058</v>
      </c>
      <c r="G81" s="23">
        <v>1184</v>
      </c>
      <c r="H81" s="24">
        <v>2332</v>
      </c>
      <c r="I81" s="23">
        <v>741</v>
      </c>
      <c r="J81" s="24">
        <v>2120</v>
      </c>
      <c r="K81" s="23">
        <v>685</v>
      </c>
      <c r="L81" s="24">
        <v>212</v>
      </c>
      <c r="M81" s="23">
        <v>226</v>
      </c>
      <c r="N81" s="24">
        <v>2521</v>
      </c>
      <c r="O81" s="23">
        <v>557</v>
      </c>
      <c r="P81" s="24">
        <v>1188</v>
      </c>
      <c r="Q81" s="23">
        <v>384</v>
      </c>
      <c r="R81" s="24">
        <v>1333</v>
      </c>
      <c r="S81" s="23">
        <v>382</v>
      </c>
      <c r="T81" s="24">
        <v>205</v>
      </c>
      <c r="U81" s="23">
        <v>126</v>
      </c>
      <c r="V81" s="24">
        <v>156</v>
      </c>
      <c r="W81" s="23">
        <v>109</v>
      </c>
      <c r="X81" s="24">
        <v>49</v>
      </c>
      <c r="Y81" s="20">
        <v>68</v>
      </c>
      <c r="Z81" s="19">
        <v>4095</v>
      </c>
      <c r="AA81" s="23">
        <v>805</v>
      </c>
      <c r="AB81" s="24">
        <v>1556</v>
      </c>
      <c r="AC81" s="23">
        <v>384</v>
      </c>
      <c r="AD81" s="24">
        <v>1486</v>
      </c>
      <c r="AE81" s="23">
        <v>380</v>
      </c>
      <c r="AF81" s="24">
        <v>70</v>
      </c>
      <c r="AG81" s="23">
        <v>68</v>
      </c>
      <c r="AH81" s="24">
        <v>2407</v>
      </c>
      <c r="AI81" s="23">
        <v>476</v>
      </c>
      <c r="AJ81" s="24">
        <v>1225</v>
      </c>
      <c r="AK81" s="23">
        <v>299</v>
      </c>
      <c r="AL81" s="24">
        <v>1182</v>
      </c>
      <c r="AM81" s="23">
        <v>310</v>
      </c>
      <c r="AN81" s="24">
        <v>132</v>
      </c>
      <c r="AO81" s="23">
        <v>67</v>
      </c>
      <c r="AP81" s="24">
        <v>116</v>
      </c>
      <c r="AQ81" s="23">
        <v>67</v>
      </c>
      <c r="AR81" s="24">
        <v>16</v>
      </c>
      <c r="AS81" s="20">
        <v>23</v>
      </c>
      <c r="AT81" s="19">
        <v>7148</v>
      </c>
      <c r="AU81" s="23">
        <v>1021</v>
      </c>
      <c r="AV81" s="24">
        <v>1838</v>
      </c>
      <c r="AW81" s="23">
        <v>366</v>
      </c>
      <c r="AX81" s="24">
        <v>1622</v>
      </c>
      <c r="AY81" s="23">
        <v>349</v>
      </c>
      <c r="AZ81" s="24">
        <v>216</v>
      </c>
      <c r="BA81" s="23">
        <v>106</v>
      </c>
      <c r="BB81" s="24">
        <v>4723</v>
      </c>
      <c r="BC81" s="23">
        <v>692</v>
      </c>
      <c r="BD81" s="24">
        <v>2784</v>
      </c>
      <c r="BE81" s="23">
        <v>523</v>
      </c>
      <c r="BF81" s="24">
        <v>1939</v>
      </c>
      <c r="BG81" s="23">
        <v>419</v>
      </c>
      <c r="BH81" s="24">
        <v>587</v>
      </c>
      <c r="BI81" s="23">
        <v>152</v>
      </c>
      <c r="BJ81" s="24">
        <v>559</v>
      </c>
      <c r="BK81" s="23">
        <v>149</v>
      </c>
      <c r="BL81" s="24">
        <v>28</v>
      </c>
      <c r="BM81" s="20">
        <v>42</v>
      </c>
      <c r="BN81" s="19">
        <v>5611</v>
      </c>
      <c r="BO81" s="23">
        <v>733</v>
      </c>
      <c r="BP81" s="24">
        <v>923</v>
      </c>
      <c r="BQ81" s="23">
        <v>323</v>
      </c>
      <c r="BR81" s="24">
        <v>823</v>
      </c>
      <c r="BS81" s="23">
        <v>302</v>
      </c>
      <c r="BT81" s="26">
        <v>100</v>
      </c>
      <c r="BU81" s="23">
        <v>74</v>
      </c>
      <c r="BV81" s="24">
        <v>4043</v>
      </c>
      <c r="BW81" s="23">
        <v>491</v>
      </c>
      <c r="BX81" s="24">
        <v>3357</v>
      </c>
      <c r="BY81" s="23">
        <v>457</v>
      </c>
      <c r="BZ81" s="24">
        <v>686</v>
      </c>
      <c r="CA81" s="23">
        <v>252</v>
      </c>
      <c r="CB81" s="24">
        <v>645</v>
      </c>
      <c r="CC81" s="23">
        <v>138</v>
      </c>
      <c r="CD81" s="24">
        <v>622</v>
      </c>
      <c r="CE81" s="23">
        <v>139</v>
      </c>
      <c r="CF81" s="24">
        <v>23</v>
      </c>
      <c r="CG81" s="20">
        <v>34</v>
      </c>
    </row>
    <row r="82" spans="1:85" x14ac:dyDescent="0.3">
      <c r="A82" t="s">
        <v>163</v>
      </c>
      <c r="B82">
        <v>20740</v>
      </c>
      <c r="C82" t="s">
        <v>164</v>
      </c>
      <c r="D82" s="19">
        <v>27326</v>
      </c>
      <c r="E82" s="20">
        <v>664</v>
      </c>
      <c r="F82" s="19">
        <v>7670</v>
      </c>
      <c r="G82" s="23">
        <v>1002</v>
      </c>
      <c r="H82" s="24">
        <v>938</v>
      </c>
      <c r="I82" s="23">
        <v>538</v>
      </c>
      <c r="J82" s="24">
        <v>896</v>
      </c>
      <c r="K82" s="23">
        <v>542</v>
      </c>
      <c r="L82" s="24">
        <v>42</v>
      </c>
      <c r="M82" s="23">
        <v>44</v>
      </c>
      <c r="N82" s="24">
        <v>6296</v>
      </c>
      <c r="O82" s="23">
        <v>677</v>
      </c>
      <c r="P82" s="24">
        <v>5377</v>
      </c>
      <c r="Q82" s="23">
        <v>652</v>
      </c>
      <c r="R82" s="24">
        <v>919</v>
      </c>
      <c r="S82" s="23">
        <v>297</v>
      </c>
      <c r="T82" s="24">
        <v>436</v>
      </c>
      <c r="U82" s="23">
        <v>181</v>
      </c>
      <c r="V82" s="24">
        <v>411</v>
      </c>
      <c r="W82" s="23">
        <v>176</v>
      </c>
      <c r="X82" s="24">
        <v>25</v>
      </c>
      <c r="Y82" s="20">
        <v>64</v>
      </c>
      <c r="Z82" s="19">
        <v>2507</v>
      </c>
      <c r="AA82" s="23">
        <v>543</v>
      </c>
      <c r="AB82" s="24">
        <v>588</v>
      </c>
      <c r="AC82" s="23">
        <v>227</v>
      </c>
      <c r="AD82" s="24">
        <v>513</v>
      </c>
      <c r="AE82" s="23">
        <v>193</v>
      </c>
      <c r="AF82" s="24">
        <v>75</v>
      </c>
      <c r="AG82" s="23">
        <v>67</v>
      </c>
      <c r="AH82" s="24">
        <v>1685</v>
      </c>
      <c r="AI82" s="23">
        <v>337</v>
      </c>
      <c r="AJ82" s="24">
        <v>1272</v>
      </c>
      <c r="AK82" s="23">
        <v>274</v>
      </c>
      <c r="AL82" s="24">
        <v>413</v>
      </c>
      <c r="AM82" s="23">
        <v>172</v>
      </c>
      <c r="AN82" s="24">
        <v>234</v>
      </c>
      <c r="AO82" s="23">
        <v>101</v>
      </c>
      <c r="AP82" s="24">
        <v>228</v>
      </c>
      <c r="AQ82" s="23">
        <v>100</v>
      </c>
      <c r="AR82" s="24">
        <v>6</v>
      </c>
      <c r="AS82" s="20">
        <v>9</v>
      </c>
      <c r="AT82" s="19">
        <v>6886</v>
      </c>
      <c r="AU82" s="23">
        <v>874</v>
      </c>
      <c r="AV82" s="24">
        <v>1278</v>
      </c>
      <c r="AW82" s="23">
        <v>311</v>
      </c>
      <c r="AX82" s="24">
        <v>1175</v>
      </c>
      <c r="AY82" s="23">
        <v>317</v>
      </c>
      <c r="AZ82" s="24">
        <v>103</v>
      </c>
      <c r="BA82" s="23">
        <v>92</v>
      </c>
      <c r="BB82" s="24">
        <v>5113</v>
      </c>
      <c r="BC82" s="23">
        <v>629</v>
      </c>
      <c r="BD82" s="24">
        <v>4177</v>
      </c>
      <c r="BE82" s="23">
        <v>496</v>
      </c>
      <c r="BF82" s="24">
        <v>936</v>
      </c>
      <c r="BG82" s="23">
        <v>338</v>
      </c>
      <c r="BH82" s="24">
        <v>495</v>
      </c>
      <c r="BI82" s="23">
        <v>138</v>
      </c>
      <c r="BJ82" s="24">
        <v>487</v>
      </c>
      <c r="BK82" s="23">
        <v>139</v>
      </c>
      <c r="BL82" s="24">
        <v>8</v>
      </c>
      <c r="BM82" s="20">
        <v>11</v>
      </c>
      <c r="BN82" s="19">
        <v>10263</v>
      </c>
      <c r="BO82" s="23">
        <v>906</v>
      </c>
      <c r="BP82" s="24">
        <v>1093</v>
      </c>
      <c r="BQ82" s="23">
        <v>284</v>
      </c>
      <c r="BR82" s="24">
        <v>1093</v>
      </c>
      <c r="BS82" s="23">
        <v>284</v>
      </c>
      <c r="BT82" s="26">
        <v>0</v>
      </c>
      <c r="BU82" s="23">
        <v>25</v>
      </c>
      <c r="BV82" s="24">
        <v>7600</v>
      </c>
      <c r="BW82" s="23">
        <v>681</v>
      </c>
      <c r="BX82" s="24">
        <v>7261</v>
      </c>
      <c r="BY82" s="23">
        <v>686</v>
      </c>
      <c r="BZ82" s="24">
        <v>339</v>
      </c>
      <c r="CA82" s="23">
        <v>150</v>
      </c>
      <c r="CB82" s="24">
        <v>1570</v>
      </c>
      <c r="CC82" s="23">
        <v>212</v>
      </c>
      <c r="CD82" s="24">
        <v>1547</v>
      </c>
      <c r="CE82" s="23">
        <v>207</v>
      </c>
      <c r="CF82" s="24">
        <v>23</v>
      </c>
      <c r="CG82" s="20">
        <v>38</v>
      </c>
    </row>
    <row r="83" spans="1:85" x14ac:dyDescent="0.3">
      <c r="A83" t="s">
        <v>165</v>
      </c>
      <c r="B83">
        <v>20742</v>
      </c>
      <c r="C83" t="s">
        <v>166</v>
      </c>
      <c r="D83" s="19">
        <v>0</v>
      </c>
      <c r="E83" s="20">
        <v>17</v>
      </c>
      <c r="F83" s="19">
        <v>0</v>
      </c>
      <c r="G83" s="23">
        <v>34</v>
      </c>
      <c r="H83" s="24">
        <v>0</v>
      </c>
      <c r="I83" s="23">
        <v>34</v>
      </c>
      <c r="J83" s="24">
        <v>0</v>
      </c>
      <c r="K83" s="23">
        <v>34</v>
      </c>
      <c r="L83" s="24">
        <v>0</v>
      </c>
      <c r="M83" s="23">
        <v>34</v>
      </c>
      <c r="N83" s="24">
        <v>0</v>
      </c>
      <c r="O83" s="23">
        <v>34</v>
      </c>
      <c r="P83" s="24">
        <v>0</v>
      </c>
      <c r="Q83" s="23">
        <v>34</v>
      </c>
      <c r="R83" s="24">
        <v>0</v>
      </c>
      <c r="S83" s="23">
        <v>34</v>
      </c>
      <c r="T83" s="24">
        <v>0</v>
      </c>
      <c r="U83" s="23">
        <v>34</v>
      </c>
      <c r="V83" s="24">
        <v>0</v>
      </c>
      <c r="W83" s="23">
        <v>34</v>
      </c>
      <c r="X83" s="24">
        <v>0</v>
      </c>
      <c r="Y83" s="20">
        <v>34</v>
      </c>
      <c r="Z83" s="19">
        <v>0</v>
      </c>
      <c r="AA83" s="23">
        <v>17</v>
      </c>
      <c r="AB83" s="24">
        <v>0</v>
      </c>
      <c r="AC83" s="23">
        <v>17</v>
      </c>
      <c r="AD83" s="24">
        <v>0</v>
      </c>
      <c r="AE83" s="23">
        <v>17</v>
      </c>
      <c r="AF83" s="24">
        <v>0</v>
      </c>
      <c r="AG83" s="23">
        <v>17</v>
      </c>
      <c r="AH83" s="24">
        <v>0</v>
      </c>
      <c r="AI83" s="23">
        <v>17</v>
      </c>
      <c r="AJ83" s="24">
        <v>0</v>
      </c>
      <c r="AK83" s="23">
        <v>17</v>
      </c>
      <c r="AL83" s="24">
        <v>0</v>
      </c>
      <c r="AM83" s="23">
        <v>17</v>
      </c>
      <c r="AN83" s="24">
        <v>0</v>
      </c>
      <c r="AO83" s="23">
        <v>17</v>
      </c>
      <c r="AP83" s="24">
        <v>0</v>
      </c>
      <c r="AQ83" s="23">
        <v>17</v>
      </c>
      <c r="AR83" s="24">
        <v>0</v>
      </c>
      <c r="AS83" s="20">
        <v>17</v>
      </c>
      <c r="AT83" s="19">
        <v>0</v>
      </c>
      <c r="AU83" s="23">
        <v>17</v>
      </c>
      <c r="AV83" s="24">
        <v>0</v>
      </c>
      <c r="AW83" s="23">
        <v>17</v>
      </c>
      <c r="AX83" s="24">
        <v>0</v>
      </c>
      <c r="AY83" s="23">
        <v>17</v>
      </c>
      <c r="AZ83" s="24">
        <v>0</v>
      </c>
      <c r="BA83" s="23">
        <v>17</v>
      </c>
      <c r="BB83" s="24">
        <v>0</v>
      </c>
      <c r="BC83" s="23">
        <v>17</v>
      </c>
      <c r="BD83" s="24">
        <v>0</v>
      </c>
      <c r="BE83" s="23">
        <v>17</v>
      </c>
      <c r="BF83" s="24">
        <v>0</v>
      </c>
      <c r="BG83" s="23">
        <v>17</v>
      </c>
      <c r="BH83" s="24">
        <v>0</v>
      </c>
      <c r="BI83" s="23">
        <v>17</v>
      </c>
      <c r="BJ83" s="24">
        <v>0</v>
      </c>
      <c r="BK83" s="23">
        <v>17</v>
      </c>
      <c r="BL83" s="24">
        <v>0</v>
      </c>
      <c r="BM83" s="20">
        <v>17</v>
      </c>
      <c r="BN83" s="19">
        <v>0</v>
      </c>
      <c r="BO83" s="23">
        <v>17</v>
      </c>
      <c r="BP83" s="24">
        <v>0</v>
      </c>
      <c r="BQ83" s="23">
        <v>17</v>
      </c>
      <c r="BR83" s="24">
        <v>0</v>
      </c>
      <c r="BS83" s="23">
        <v>17</v>
      </c>
      <c r="BT83" s="26">
        <v>0</v>
      </c>
      <c r="BU83" s="23">
        <v>17</v>
      </c>
      <c r="BV83" s="24">
        <v>0</v>
      </c>
      <c r="BW83" s="23">
        <v>17</v>
      </c>
      <c r="BX83" s="24">
        <v>0</v>
      </c>
      <c r="BY83" s="23">
        <v>17</v>
      </c>
      <c r="BZ83" s="24">
        <v>0</v>
      </c>
      <c r="CA83" s="23">
        <v>17</v>
      </c>
      <c r="CB83" s="24">
        <v>0</v>
      </c>
      <c r="CC83" s="23">
        <v>17</v>
      </c>
      <c r="CD83" s="24">
        <v>0</v>
      </c>
      <c r="CE83" s="23">
        <v>17</v>
      </c>
      <c r="CF83" s="24">
        <v>0</v>
      </c>
      <c r="CG83" s="20">
        <v>17</v>
      </c>
    </row>
    <row r="84" spans="1:85" x14ac:dyDescent="0.3">
      <c r="A84" t="s">
        <v>167</v>
      </c>
      <c r="B84">
        <v>20743</v>
      </c>
      <c r="C84" t="s">
        <v>168</v>
      </c>
      <c r="D84" s="19">
        <v>39863</v>
      </c>
      <c r="E84" s="20">
        <v>1309</v>
      </c>
      <c r="F84" s="19">
        <v>7828</v>
      </c>
      <c r="G84" s="23">
        <v>1663</v>
      </c>
      <c r="H84" s="24">
        <v>2759</v>
      </c>
      <c r="I84" s="23">
        <v>1134</v>
      </c>
      <c r="J84" s="24">
        <v>2621</v>
      </c>
      <c r="K84" s="23">
        <v>1122</v>
      </c>
      <c r="L84" s="24">
        <v>138</v>
      </c>
      <c r="M84" s="23">
        <v>150</v>
      </c>
      <c r="N84" s="24">
        <v>4149</v>
      </c>
      <c r="O84" s="23">
        <v>694</v>
      </c>
      <c r="P84" s="24">
        <v>3092</v>
      </c>
      <c r="Q84" s="23">
        <v>585</v>
      </c>
      <c r="R84" s="24">
        <v>1057</v>
      </c>
      <c r="S84" s="23">
        <v>401</v>
      </c>
      <c r="T84" s="24">
        <v>920</v>
      </c>
      <c r="U84" s="23">
        <v>236</v>
      </c>
      <c r="V84" s="24">
        <v>901</v>
      </c>
      <c r="W84" s="23">
        <v>228</v>
      </c>
      <c r="X84" s="24">
        <v>19</v>
      </c>
      <c r="Y84" s="20">
        <v>57</v>
      </c>
      <c r="Z84" s="19">
        <v>4261</v>
      </c>
      <c r="AA84" s="23">
        <v>924</v>
      </c>
      <c r="AB84" s="24">
        <v>1630</v>
      </c>
      <c r="AC84" s="23">
        <v>540</v>
      </c>
      <c r="AD84" s="24">
        <v>1571</v>
      </c>
      <c r="AE84" s="23">
        <v>520</v>
      </c>
      <c r="AF84" s="24">
        <v>59</v>
      </c>
      <c r="AG84" s="23">
        <v>71</v>
      </c>
      <c r="AH84" s="24">
        <v>2096</v>
      </c>
      <c r="AI84" s="23">
        <v>453</v>
      </c>
      <c r="AJ84" s="24">
        <v>1511</v>
      </c>
      <c r="AK84" s="23">
        <v>370</v>
      </c>
      <c r="AL84" s="24">
        <v>585</v>
      </c>
      <c r="AM84" s="23">
        <v>217</v>
      </c>
      <c r="AN84" s="24">
        <v>535</v>
      </c>
      <c r="AO84" s="23">
        <v>130</v>
      </c>
      <c r="AP84" s="24">
        <v>511</v>
      </c>
      <c r="AQ84" s="23">
        <v>121</v>
      </c>
      <c r="AR84" s="24">
        <v>24</v>
      </c>
      <c r="AS84" s="20">
        <v>26</v>
      </c>
      <c r="AT84" s="19">
        <v>13233</v>
      </c>
      <c r="AU84" s="23">
        <v>1085</v>
      </c>
      <c r="AV84" s="24">
        <v>3402</v>
      </c>
      <c r="AW84" s="23">
        <v>441</v>
      </c>
      <c r="AX84" s="24">
        <v>3196</v>
      </c>
      <c r="AY84" s="23">
        <v>415</v>
      </c>
      <c r="AZ84" s="24">
        <v>206</v>
      </c>
      <c r="BA84" s="23">
        <v>97</v>
      </c>
      <c r="BB84" s="24">
        <v>7838</v>
      </c>
      <c r="BC84" s="23">
        <v>622</v>
      </c>
      <c r="BD84" s="24">
        <v>6526</v>
      </c>
      <c r="BE84" s="23">
        <v>540</v>
      </c>
      <c r="BF84" s="24">
        <v>1312</v>
      </c>
      <c r="BG84" s="23">
        <v>289</v>
      </c>
      <c r="BH84" s="24">
        <v>1993</v>
      </c>
      <c r="BI84" s="23">
        <v>322</v>
      </c>
      <c r="BJ84" s="24">
        <v>1993</v>
      </c>
      <c r="BK84" s="23">
        <v>322</v>
      </c>
      <c r="BL84" s="24">
        <v>0</v>
      </c>
      <c r="BM84" s="20">
        <v>25</v>
      </c>
      <c r="BN84" s="19">
        <v>14541</v>
      </c>
      <c r="BO84" s="23">
        <v>1158</v>
      </c>
      <c r="BP84" s="24">
        <v>1878</v>
      </c>
      <c r="BQ84" s="23">
        <v>379</v>
      </c>
      <c r="BR84" s="24">
        <v>1859</v>
      </c>
      <c r="BS84" s="23">
        <v>379</v>
      </c>
      <c r="BT84" s="26">
        <v>19</v>
      </c>
      <c r="BU84" s="23">
        <v>21</v>
      </c>
      <c r="BV84" s="24">
        <v>10688</v>
      </c>
      <c r="BW84" s="23">
        <v>872</v>
      </c>
      <c r="BX84" s="24">
        <v>9847</v>
      </c>
      <c r="BY84" s="23">
        <v>824</v>
      </c>
      <c r="BZ84" s="24">
        <v>841</v>
      </c>
      <c r="CA84" s="23">
        <v>227</v>
      </c>
      <c r="CB84" s="24">
        <v>1975</v>
      </c>
      <c r="CC84" s="23">
        <v>262</v>
      </c>
      <c r="CD84" s="24">
        <v>1970</v>
      </c>
      <c r="CE84" s="23">
        <v>262</v>
      </c>
      <c r="CF84" s="24">
        <v>5</v>
      </c>
      <c r="CG84" s="20">
        <v>8</v>
      </c>
    </row>
    <row r="85" spans="1:85" x14ac:dyDescent="0.3">
      <c r="A85" t="s">
        <v>169</v>
      </c>
      <c r="B85">
        <v>20744</v>
      </c>
      <c r="C85" t="s">
        <v>170</v>
      </c>
      <c r="D85" s="19">
        <v>53694</v>
      </c>
      <c r="E85" s="20">
        <v>1645</v>
      </c>
      <c r="F85" s="19">
        <v>6201</v>
      </c>
      <c r="G85" s="23">
        <v>1943</v>
      </c>
      <c r="H85" s="24">
        <v>2061</v>
      </c>
      <c r="I85" s="23">
        <v>886</v>
      </c>
      <c r="J85" s="24">
        <v>1794</v>
      </c>
      <c r="K85" s="23">
        <v>802</v>
      </c>
      <c r="L85" s="24">
        <v>267</v>
      </c>
      <c r="M85" s="23">
        <v>344</v>
      </c>
      <c r="N85" s="24">
        <v>3367</v>
      </c>
      <c r="O85" s="23">
        <v>1056</v>
      </c>
      <c r="P85" s="24">
        <v>2227</v>
      </c>
      <c r="Q85" s="23">
        <v>855</v>
      </c>
      <c r="R85" s="24">
        <v>1140</v>
      </c>
      <c r="S85" s="23">
        <v>501</v>
      </c>
      <c r="T85" s="24">
        <v>773</v>
      </c>
      <c r="U85" s="23">
        <v>274</v>
      </c>
      <c r="V85" s="24">
        <v>773</v>
      </c>
      <c r="W85" s="23">
        <v>274</v>
      </c>
      <c r="X85" s="24">
        <v>0</v>
      </c>
      <c r="Y85" s="20">
        <v>56</v>
      </c>
      <c r="Z85" s="19">
        <v>3153</v>
      </c>
      <c r="AA85" s="23">
        <v>871</v>
      </c>
      <c r="AB85" s="24">
        <v>1135</v>
      </c>
      <c r="AC85" s="23">
        <v>403</v>
      </c>
      <c r="AD85" s="24">
        <v>1063</v>
      </c>
      <c r="AE85" s="23">
        <v>393</v>
      </c>
      <c r="AF85" s="24">
        <v>72</v>
      </c>
      <c r="AG85" s="23">
        <v>69</v>
      </c>
      <c r="AH85" s="24">
        <v>1567</v>
      </c>
      <c r="AI85" s="23">
        <v>442</v>
      </c>
      <c r="AJ85" s="24">
        <v>1234</v>
      </c>
      <c r="AK85" s="23">
        <v>380</v>
      </c>
      <c r="AL85" s="24">
        <v>333</v>
      </c>
      <c r="AM85" s="23">
        <v>125</v>
      </c>
      <c r="AN85" s="24">
        <v>451</v>
      </c>
      <c r="AO85" s="23">
        <v>148</v>
      </c>
      <c r="AP85" s="24">
        <v>451</v>
      </c>
      <c r="AQ85" s="23">
        <v>148</v>
      </c>
      <c r="AR85" s="24">
        <v>0</v>
      </c>
      <c r="AS85" s="20">
        <v>28</v>
      </c>
      <c r="AT85" s="19">
        <v>11677</v>
      </c>
      <c r="AU85" s="23">
        <v>1272</v>
      </c>
      <c r="AV85" s="24">
        <v>2452</v>
      </c>
      <c r="AW85" s="23">
        <v>426</v>
      </c>
      <c r="AX85" s="24">
        <v>2197</v>
      </c>
      <c r="AY85" s="23">
        <v>403</v>
      </c>
      <c r="AZ85" s="24">
        <v>255</v>
      </c>
      <c r="BA85" s="23">
        <v>130</v>
      </c>
      <c r="BB85" s="24">
        <v>7234</v>
      </c>
      <c r="BC85" s="23">
        <v>925</v>
      </c>
      <c r="BD85" s="24">
        <v>5728</v>
      </c>
      <c r="BE85" s="23">
        <v>732</v>
      </c>
      <c r="BF85" s="24">
        <v>1506</v>
      </c>
      <c r="BG85" s="23">
        <v>406</v>
      </c>
      <c r="BH85" s="24">
        <v>1991</v>
      </c>
      <c r="BI85" s="23">
        <v>257</v>
      </c>
      <c r="BJ85" s="24">
        <v>1894</v>
      </c>
      <c r="BK85" s="23">
        <v>263</v>
      </c>
      <c r="BL85" s="24">
        <v>97</v>
      </c>
      <c r="BM85" s="20">
        <v>78</v>
      </c>
      <c r="BN85" s="19">
        <v>32663</v>
      </c>
      <c r="BO85" s="23">
        <v>1534</v>
      </c>
      <c r="BP85" s="24">
        <v>4682</v>
      </c>
      <c r="BQ85" s="23">
        <v>584</v>
      </c>
      <c r="BR85" s="24">
        <v>4626</v>
      </c>
      <c r="BS85" s="23">
        <v>576</v>
      </c>
      <c r="BT85" s="26">
        <v>56</v>
      </c>
      <c r="BU85" s="23">
        <v>51</v>
      </c>
      <c r="BV85" s="24">
        <v>21572</v>
      </c>
      <c r="BW85" s="23">
        <v>1119</v>
      </c>
      <c r="BX85" s="24">
        <v>20343</v>
      </c>
      <c r="BY85" s="23">
        <v>1040</v>
      </c>
      <c r="BZ85" s="24">
        <v>1229</v>
      </c>
      <c r="CA85" s="23">
        <v>368</v>
      </c>
      <c r="CB85" s="24">
        <v>6409</v>
      </c>
      <c r="CC85" s="23">
        <v>463</v>
      </c>
      <c r="CD85" s="24">
        <v>6383</v>
      </c>
      <c r="CE85" s="23">
        <v>464</v>
      </c>
      <c r="CF85" s="24">
        <v>26</v>
      </c>
      <c r="CG85" s="20">
        <v>29</v>
      </c>
    </row>
    <row r="86" spans="1:85" x14ac:dyDescent="0.3">
      <c r="A86" t="s">
        <v>171</v>
      </c>
      <c r="B86">
        <v>20745</v>
      </c>
      <c r="C86" t="s">
        <v>172</v>
      </c>
      <c r="D86" s="19">
        <v>29342</v>
      </c>
      <c r="E86" s="20">
        <v>1550</v>
      </c>
      <c r="F86" s="19">
        <v>5680</v>
      </c>
      <c r="G86" s="23">
        <v>1546</v>
      </c>
      <c r="H86" s="24">
        <v>1834</v>
      </c>
      <c r="I86" s="23">
        <v>874</v>
      </c>
      <c r="J86" s="24">
        <v>1687</v>
      </c>
      <c r="K86" s="23">
        <v>859</v>
      </c>
      <c r="L86" s="24">
        <v>147</v>
      </c>
      <c r="M86" s="23">
        <v>174</v>
      </c>
      <c r="N86" s="24">
        <v>3383</v>
      </c>
      <c r="O86" s="23">
        <v>850</v>
      </c>
      <c r="P86" s="24">
        <v>2316</v>
      </c>
      <c r="Q86" s="23">
        <v>651</v>
      </c>
      <c r="R86" s="24">
        <v>1067</v>
      </c>
      <c r="S86" s="23">
        <v>509</v>
      </c>
      <c r="T86" s="24">
        <v>463</v>
      </c>
      <c r="U86" s="23">
        <v>210</v>
      </c>
      <c r="V86" s="24">
        <v>434</v>
      </c>
      <c r="W86" s="23">
        <v>203</v>
      </c>
      <c r="X86" s="24">
        <v>29</v>
      </c>
      <c r="Y86" s="20">
        <v>54</v>
      </c>
      <c r="Z86" s="19">
        <v>4090</v>
      </c>
      <c r="AA86" s="23">
        <v>1003</v>
      </c>
      <c r="AB86" s="24">
        <v>1467</v>
      </c>
      <c r="AC86" s="23">
        <v>514</v>
      </c>
      <c r="AD86" s="24">
        <v>1328</v>
      </c>
      <c r="AE86" s="23">
        <v>459</v>
      </c>
      <c r="AF86" s="24">
        <v>139</v>
      </c>
      <c r="AG86" s="23">
        <v>164</v>
      </c>
      <c r="AH86" s="24">
        <v>2326</v>
      </c>
      <c r="AI86" s="23">
        <v>548</v>
      </c>
      <c r="AJ86" s="24">
        <v>1401</v>
      </c>
      <c r="AK86" s="23">
        <v>373</v>
      </c>
      <c r="AL86" s="24">
        <v>925</v>
      </c>
      <c r="AM86" s="23">
        <v>338</v>
      </c>
      <c r="AN86" s="24">
        <v>297</v>
      </c>
      <c r="AO86" s="23">
        <v>127</v>
      </c>
      <c r="AP86" s="24">
        <v>297</v>
      </c>
      <c r="AQ86" s="23">
        <v>127</v>
      </c>
      <c r="AR86" s="24">
        <v>0</v>
      </c>
      <c r="AS86" s="20">
        <v>22</v>
      </c>
      <c r="AT86" s="19">
        <v>9571</v>
      </c>
      <c r="AU86" s="23">
        <v>1207</v>
      </c>
      <c r="AV86" s="24">
        <v>2699</v>
      </c>
      <c r="AW86" s="23">
        <v>619</v>
      </c>
      <c r="AX86" s="24">
        <v>2469</v>
      </c>
      <c r="AY86" s="23">
        <v>570</v>
      </c>
      <c r="AZ86" s="24">
        <v>230</v>
      </c>
      <c r="BA86" s="23">
        <v>188</v>
      </c>
      <c r="BB86" s="24">
        <v>6024</v>
      </c>
      <c r="BC86" s="23">
        <v>713</v>
      </c>
      <c r="BD86" s="24">
        <v>4554</v>
      </c>
      <c r="BE86" s="23">
        <v>605</v>
      </c>
      <c r="BF86" s="24">
        <v>1470</v>
      </c>
      <c r="BG86" s="23">
        <v>327</v>
      </c>
      <c r="BH86" s="24">
        <v>848</v>
      </c>
      <c r="BI86" s="23">
        <v>185</v>
      </c>
      <c r="BJ86" s="24">
        <v>796</v>
      </c>
      <c r="BK86" s="23">
        <v>186</v>
      </c>
      <c r="BL86" s="24">
        <v>52</v>
      </c>
      <c r="BM86" s="20">
        <v>63</v>
      </c>
      <c r="BN86" s="19">
        <v>10001</v>
      </c>
      <c r="BO86" s="23">
        <v>884</v>
      </c>
      <c r="BP86" s="24">
        <v>1021</v>
      </c>
      <c r="BQ86" s="23">
        <v>265</v>
      </c>
      <c r="BR86" s="24">
        <v>1021</v>
      </c>
      <c r="BS86" s="23">
        <v>265</v>
      </c>
      <c r="BT86" s="26">
        <v>0</v>
      </c>
      <c r="BU86" s="23">
        <v>22</v>
      </c>
      <c r="BV86" s="24">
        <v>7519</v>
      </c>
      <c r="BW86" s="23">
        <v>711</v>
      </c>
      <c r="BX86" s="24">
        <v>6916</v>
      </c>
      <c r="BY86" s="23">
        <v>622</v>
      </c>
      <c r="BZ86" s="24">
        <v>603</v>
      </c>
      <c r="CA86" s="23">
        <v>242</v>
      </c>
      <c r="CB86" s="24">
        <v>1461</v>
      </c>
      <c r="CC86" s="23">
        <v>194</v>
      </c>
      <c r="CD86" s="24">
        <v>1419</v>
      </c>
      <c r="CE86" s="23">
        <v>195</v>
      </c>
      <c r="CF86" s="24">
        <v>42</v>
      </c>
      <c r="CG86" s="20">
        <v>51</v>
      </c>
    </row>
    <row r="87" spans="1:85" x14ac:dyDescent="0.3">
      <c r="A87" t="s">
        <v>173</v>
      </c>
      <c r="B87">
        <v>20746</v>
      </c>
      <c r="C87" t="s">
        <v>174</v>
      </c>
      <c r="D87" s="19">
        <v>27793</v>
      </c>
      <c r="E87" s="20">
        <v>1170</v>
      </c>
      <c r="F87" s="19">
        <v>3859</v>
      </c>
      <c r="G87" s="23">
        <v>1040</v>
      </c>
      <c r="H87" s="24">
        <v>1264</v>
      </c>
      <c r="I87" s="23">
        <v>711</v>
      </c>
      <c r="J87" s="24">
        <v>1232</v>
      </c>
      <c r="K87" s="23">
        <v>710</v>
      </c>
      <c r="L87" s="24">
        <v>32</v>
      </c>
      <c r="M87" s="23">
        <v>59</v>
      </c>
      <c r="N87" s="24">
        <v>2149</v>
      </c>
      <c r="O87" s="23">
        <v>550</v>
      </c>
      <c r="P87" s="24">
        <v>1722</v>
      </c>
      <c r="Q87" s="23">
        <v>455</v>
      </c>
      <c r="R87" s="24">
        <v>427</v>
      </c>
      <c r="S87" s="23">
        <v>239</v>
      </c>
      <c r="T87" s="24">
        <v>446</v>
      </c>
      <c r="U87" s="23">
        <v>179</v>
      </c>
      <c r="V87" s="24">
        <v>439</v>
      </c>
      <c r="W87" s="23">
        <v>176</v>
      </c>
      <c r="X87" s="24">
        <v>7</v>
      </c>
      <c r="Y87" s="20">
        <v>12</v>
      </c>
      <c r="Z87" s="19">
        <v>4052</v>
      </c>
      <c r="AA87" s="23">
        <v>765</v>
      </c>
      <c r="AB87" s="24">
        <v>1533</v>
      </c>
      <c r="AC87" s="23">
        <v>395</v>
      </c>
      <c r="AD87" s="24">
        <v>1520</v>
      </c>
      <c r="AE87" s="23">
        <v>393</v>
      </c>
      <c r="AF87" s="24">
        <v>13</v>
      </c>
      <c r="AG87" s="23">
        <v>18</v>
      </c>
      <c r="AH87" s="24">
        <v>2159</v>
      </c>
      <c r="AI87" s="23">
        <v>482</v>
      </c>
      <c r="AJ87" s="24">
        <v>1707</v>
      </c>
      <c r="AK87" s="23">
        <v>352</v>
      </c>
      <c r="AL87" s="24">
        <v>452</v>
      </c>
      <c r="AM87" s="23">
        <v>353</v>
      </c>
      <c r="AN87" s="24">
        <v>360</v>
      </c>
      <c r="AO87" s="23">
        <v>123</v>
      </c>
      <c r="AP87" s="24">
        <v>339</v>
      </c>
      <c r="AQ87" s="23">
        <v>112</v>
      </c>
      <c r="AR87" s="24">
        <v>21</v>
      </c>
      <c r="AS87" s="20">
        <v>30</v>
      </c>
      <c r="AT87" s="19">
        <v>8206</v>
      </c>
      <c r="AU87" s="23">
        <v>985</v>
      </c>
      <c r="AV87" s="24">
        <v>2304</v>
      </c>
      <c r="AW87" s="23">
        <v>464</v>
      </c>
      <c r="AX87" s="24">
        <v>2170</v>
      </c>
      <c r="AY87" s="23">
        <v>451</v>
      </c>
      <c r="AZ87" s="24">
        <v>134</v>
      </c>
      <c r="BA87" s="23">
        <v>108</v>
      </c>
      <c r="BB87" s="24">
        <v>5064</v>
      </c>
      <c r="BC87" s="23">
        <v>608</v>
      </c>
      <c r="BD87" s="24">
        <v>4065</v>
      </c>
      <c r="BE87" s="23">
        <v>527</v>
      </c>
      <c r="BF87" s="24">
        <v>999</v>
      </c>
      <c r="BG87" s="23">
        <v>288</v>
      </c>
      <c r="BH87" s="24">
        <v>838</v>
      </c>
      <c r="BI87" s="23">
        <v>193</v>
      </c>
      <c r="BJ87" s="24">
        <v>838</v>
      </c>
      <c r="BK87" s="23">
        <v>193</v>
      </c>
      <c r="BL87" s="24">
        <v>0</v>
      </c>
      <c r="BM87" s="20">
        <v>22</v>
      </c>
      <c r="BN87" s="19">
        <v>11676</v>
      </c>
      <c r="BO87" s="23">
        <v>1040</v>
      </c>
      <c r="BP87" s="24">
        <v>1767</v>
      </c>
      <c r="BQ87" s="23">
        <v>376</v>
      </c>
      <c r="BR87" s="24">
        <v>1600</v>
      </c>
      <c r="BS87" s="23">
        <v>328</v>
      </c>
      <c r="BT87" s="26">
        <v>167</v>
      </c>
      <c r="BU87" s="23">
        <v>129</v>
      </c>
      <c r="BV87" s="24">
        <v>8370</v>
      </c>
      <c r="BW87" s="23">
        <v>778</v>
      </c>
      <c r="BX87" s="24">
        <v>7884</v>
      </c>
      <c r="BY87" s="23">
        <v>763</v>
      </c>
      <c r="BZ87" s="24">
        <v>486</v>
      </c>
      <c r="CA87" s="23">
        <v>164</v>
      </c>
      <c r="CB87" s="24">
        <v>1539</v>
      </c>
      <c r="CC87" s="23">
        <v>226</v>
      </c>
      <c r="CD87" s="24">
        <v>1539</v>
      </c>
      <c r="CE87" s="23">
        <v>226</v>
      </c>
      <c r="CF87" s="24">
        <v>0</v>
      </c>
      <c r="CG87" s="20">
        <v>22</v>
      </c>
    </row>
    <row r="88" spans="1:85" x14ac:dyDescent="0.3">
      <c r="A88" t="s">
        <v>175</v>
      </c>
      <c r="B88">
        <v>20747</v>
      </c>
      <c r="C88" t="s">
        <v>176</v>
      </c>
      <c r="D88" s="19">
        <v>38159</v>
      </c>
      <c r="E88" s="20">
        <v>1193</v>
      </c>
      <c r="F88" s="19">
        <v>5767</v>
      </c>
      <c r="G88" s="23">
        <v>1256</v>
      </c>
      <c r="H88" s="24">
        <v>2267</v>
      </c>
      <c r="I88" s="23">
        <v>726</v>
      </c>
      <c r="J88" s="24">
        <v>2196</v>
      </c>
      <c r="K88" s="23">
        <v>709</v>
      </c>
      <c r="L88" s="24">
        <v>71</v>
      </c>
      <c r="M88" s="23">
        <v>115</v>
      </c>
      <c r="N88" s="24">
        <v>3085</v>
      </c>
      <c r="O88" s="23">
        <v>620</v>
      </c>
      <c r="P88" s="24">
        <v>2483</v>
      </c>
      <c r="Q88" s="23">
        <v>560</v>
      </c>
      <c r="R88" s="24">
        <v>602</v>
      </c>
      <c r="S88" s="23">
        <v>264</v>
      </c>
      <c r="T88" s="24">
        <v>415</v>
      </c>
      <c r="U88" s="23">
        <v>165</v>
      </c>
      <c r="V88" s="24">
        <v>414</v>
      </c>
      <c r="W88" s="23">
        <v>165</v>
      </c>
      <c r="X88" s="24">
        <v>1</v>
      </c>
      <c r="Y88" s="20">
        <v>29</v>
      </c>
      <c r="Z88" s="19">
        <v>4417</v>
      </c>
      <c r="AA88" s="23">
        <v>805</v>
      </c>
      <c r="AB88" s="24">
        <v>1666</v>
      </c>
      <c r="AC88" s="23">
        <v>440</v>
      </c>
      <c r="AD88" s="24">
        <v>1666</v>
      </c>
      <c r="AE88" s="23">
        <v>440</v>
      </c>
      <c r="AF88" s="24">
        <v>0</v>
      </c>
      <c r="AG88" s="23">
        <v>25</v>
      </c>
      <c r="AH88" s="24">
        <v>2354</v>
      </c>
      <c r="AI88" s="23">
        <v>444</v>
      </c>
      <c r="AJ88" s="24">
        <v>1965</v>
      </c>
      <c r="AK88" s="23">
        <v>378</v>
      </c>
      <c r="AL88" s="24">
        <v>389</v>
      </c>
      <c r="AM88" s="23">
        <v>118</v>
      </c>
      <c r="AN88" s="24">
        <v>397</v>
      </c>
      <c r="AO88" s="23">
        <v>126</v>
      </c>
      <c r="AP88" s="24">
        <v>397</v>
      </c>
      <c r="AQ88" s="23">
        <v>126</v>
      </c>
      <c r="AR88" s="24">
        <v>0</v>
      </c>
      <c r="AS88" s="20">
        <v>25</v>
      </c>
      <c r="AT88" s="19">
        <v>13171</v>
      </c>
      <c r="AU88" s="23">
        <v>1272</v>
      </c>
      <c r="AV88" s="24">
        <v>3344</v>
      </c>
      <c r="AW88" s="23">
        <v>464</v>
      </c>
      <c r="AX88" s="24">
        <v>3249</v>
      </c>
      <c r="AY88" s="23">
        <v>475</v>
      </c>
      <c r="AZ88" s="24">
        <v>95</v>
      </c>
      <c r="BA88" s="23">
        <v>64</v>
      </c>
      <c r="BB88" s="24">
        <v>8542</v>
      </c>
      <c r="BC88" s="23">
        <v>829</v>
      </c>
      <c r="BD88" s="24">
        <v>7430</v>
      </c>
      <c r="BE88" s="23">
        <v>756</v>
      </c>
      <c r="BF88" s="24">
        <v>1112</v>
      </c>
      <c r="BG88" s="23">
        <v>276</v>
      </c>
      <c r="BH88" s="24">
        <v>1285</v>
      </c>
      <c r="BI88" s="23">
        <v>318</v>
      </c>
      <c r="BJ88" s="24">
        <v>1285</v>
      </c>
      <c r="BK88" s="23">
        <v>318</v>
      </c>
      <c r="BL88" s="24">
        <v>0</v>
      </c>
      <c r="BM88" s="20">
        <v>25</v>
      </c>
      <c r="BN88" s="19">
        <v>14804</v>
      </c>
      <c r="BO88" s="23">
        <v>1205</v>
      </c>
      <c r="BP88" s="24">
        <v>1899</v>
      </c>
      <c r="BQ88" s="23">
        <v>360</v>
      </c>
      <c r="BR88" s="24">
        <v>1786</v>
      </c>
      <c r="BS88" s="23">
        <v>349</v>
      </c>
      <c r="BT88" s="26">
        <v>113</v>
      </c>
      <c r="BU88" s="23">
        <v>78</v>
      </c>
      <c r="BV88" s="24">
        <v>10910</v>
      </c>
      <c r="BW88" s="23">
        <v>886</v>
      </c>
      <c r="BX88" s="24">
        <v>10072</v>
      </c>
      <c r="BY88" s="23">
        <v>796</v>
      </c>
      <c r="BZ88" s="24">
        <v>838</v>
      </c>
      <c r="CA88" s="23">
        <v>254</v>
      </c>
      <c r="CB88" s="24">
        <v>1995</v>
      </c>
      <c r="CC88" s="23">
        <v>273</v>
      </c>
      <c r="CD88" s="24">
        <v>1995</v>
      </c>
      <c r="CE88" s="23">
        <v>273</v>
      </c>
      <c r="CF88" s="24">
        <v>0</v>
      </c>
      <c r="CG88" s="20">
        <v>25</v>
      </c>
    </row>
    <row r="89" spans="1:85" x14ac:dyDescent="0.3">
      <c r="A89" t="s">
        <v>177</v>
      </c>
      <c r="B89">
        <v>20748</v>
      </c>
      <c r="C89" t="s">
        <v>178</v>
      </c>
      <c r="D89" s="19">
        <v>38335</v>
      </c>
      <c r="E89" s="20">
        <v>1534</v>
      </c>
      <c r="F89" s="19">
        <v>5201</v>
      </c>
      <c r="G89" s="23">
        <v>1311</v>
      </c>
      <c r="H89" s="24">
        <v>1969</v>
      </c>
      <c r="I89" s="23">
        <v>765</v>
      </c>
      <c r="J89" s="24">
        <v>1867</v>
      </c>
      <c r="K89" s="23">
        <v>746</v>
      </c>
      <c r="L89" s="24">
        <v>102</v>
      </c>
      <c r="M89" s="23">
        <v>84</v>
      </c>
      <c r="N89" s="24">
        <v>2543</v>
      </c>
      <c r="O89" s="23">
        <v>574</v>
      </c>
      <c r="P89" s="24">
        <v>1982</v>
      </c>
      <c r="Q89" s="23">
        <v>488</v>
      </c>
      <c r="R89" s="24">
        <v>561</v>
      </c>
      <c r="S89" s="23">
        <v>250</v>
      </c>
      <c r="T89" s="24">
        <v>689</v>
      </c>
      <c r="U89" s="23">
        <v>276</v>
      </c>
      <c r="V89" s="24">
        <v>670</v>
      </c>
      <c r="W89" s="23">
        <v>269</v>
      </c>
      <c r="X89" s="24">
        <v>19</v>
      </c>
      <c r="Y89" s="20">
        <v>47</v>
      </c>
      <c r="Z89" s="19">
        <v>4001</v>
      </c>
      <c r="AA89" s="23">
        <v>681</v>
      </c>
      <c r="AB89" s="24">
        <v>1416</v>
      </c>
      <c r="AC89" s="23">
        <v>381</v>
      </c>
      <c r="AD89" s="24">
        <v>1346</v>
      </c>
      <c r="AE89" s="23">
        <v>370</v>
      </c>
      <c r="AF89" s="24">
        <v>70</v>
      </c>
      <c r="AG89" s="23">
        <v>70</v>
      </c>
      <c r="AH89" s="24">
        <v>2184</v>
      </c>
      <c r="AI89" s="23">
        <v>362</v>
      </c>
      <c r="AJ89" s="24">
        <v>1922</v>
      </c>
      <c r="AK89" s="23">
        <v>355</v>
      </c>
      <c r="AL89" s="24">
        <v>262</v>
      </c>
      <c r="AM89" s="23">
        <v>119</v>
      </c>
      <c r="AN89" s="24">
        <v>401</v>
      </c>
      <c r="AO89" s="23">
        <v>120</v>
      </c>
      <c r="AP89" s="24">
        <v>401</v>
      </c>
      <c r="AQ89" s="23">
        <v>120</v>
      </c>
      <c r="AR89" s="24">
        <v>0</v>
      </c>
      <c r="AS89" s="20">
        <v>25</v>
      </c>
      <c r="AT89" s="19">
        <v>11544</v>
      </c>
      <c r="AU89" s="23">
        <v>1234</v>
      </c>
      <c r="AV89" s="24">
        <v>2637</v>
      </c>
      <c r="AW89" s="23">
        <v>502</v>
      </c>
      <c r="AX89" s="24">
        <v>2583</v>
      </c>
      <c r="AY89" s="23">
        <v>498</v>
      </c>
      <c r="AZ89" s="24">
        <v>54</v>
      </c>
      <c r="BA89" s="23">
        <v>68</v>
      </c>
      <c r="BB89" s="24">
        <v>7248</v>
      </c>
      <c r="BC89" s="23">
        <v>776</v>
      </c>
      <c r="BD89" s="24">
        <v>6328</v>
      </c>
      <c r="BE89" s="23">
        <v>731</v>
      </c>
      <c r="BF89" s="24">
        <v>920</v>
      </c>
      <c r="BG89" s="23">
        <v>210</v>
      </c>
      <c r="BH89" s="24">
        <v>1659</v>
      </c>
      <c r="BI89" s="23">
        <v>218</v>
      </c>
      <c r="BJ89" s="24">
        <v>1650</v>
      </c>
      <c r="BK89" s="23">
        <v>216</v>
      </c>
      <c r="BL89" s="24">
        <v>9</v>
      </c>
      <c r="BM89" s="20">
        <v>14</v>
      </c>
      <c r="BN89" s="19">
        <v>17589</v>
      </c>
      <c r="BO89" s="23">
        <v>1275</v>
      </c>
      <c r="BP89" s="24">
        <v>2079</v>
      </c>
      <c r="BQ89" s="23">
        <v>370</v>
      </c>
      <c r="BR89" s="24">
        <v>1921</v>
      </c>
      <c r="BS89" s="23">
        <v>345</v>
      </c>
      <c r="BT89" s="26">
        <v>158</v>
      </c>
      <c r="BU89" s="23">
        <v>113</v>
      </c>
      <c r="BV89" s="24">
        <v>12279</v>
      </c>
      <c r="BW89" s="23">
        <v>956</v>
      </c>
      <c r="BX89" s="24">
        <v>11121</v>
      </c>
      <c r="BY89" s="23">
        <v>883</v>
      </c>
      <c r="BZ89" s="24">
        <v>1158</v>
      </c>
      <c r="CA89" s="23">
        <v>279</v>
      </c>
      <c r="CB89" s="24">
        <v>3231</v>
      </c>
      <c r="CC89" s="23">
        <v>321</v>
      </c>
      <c r="CD89" s="24">
        <v>3203</v>
      </c>
      <c r="CE89" s="23">
        <v>327</v>
      </c>
      <c r="CF89" s="24">
        <v>28</v>
      </c>
      <c r="CG89" s="20">
        <v>38</v>
      </c>
    </row>
    <row r="90" spans="1:85" x14ac:dyDescent="0.3">
      <c r="A90" t="s">
        <v>179</v>
      </c>
      <c r="B90">
        <v>20751</v>
      </c>
      <c r="C90" t="s">
        <v>180</v>
      </c>
      <c r="D90" s="19">
        <v>2394</v>
      </c>
      <c r="E90" s="20">
        <v>411</v>
      </c>
      <c r="F90" s="19">
        <v>374</v>
      </c>
      <c r="G90" s="23">
        <v>361</v>
      </c>
      <c r="H90" s="24">
        <v>144</v>
      </c>
      <c r="I90" s="23">
        <v>212</v>
      </c>
      <c r="J90" s="24">
        <v>144</v>
      </c>
      <c r="K90" s="23">
        <v>212</v>
      </c>
      <c r="L90" s="24">
        <v>0</v>
      </c>
      <c r="M90" s="23">
        <v>24</v>
      </c>
      <c r="N90" s="24">
        <v>219</v>
      </c>
      <c r="O90" s="23">
        <v>165</v>
      </c>
      <c r="P90" s="24">
        <v>215</v>
      </c>
      <c r="Q90" s="23">
        <v>165</v>
      </c>
      <c r="R90" s="24">
        <v>4</v>
      </c>
      <c r="S90" s="23">
        <v>21</v>
      </c>
      <c r="T90" s="24">
        <v>11</v>
      </c>
      <c r="U90" s="23">
        <v>19</v>
      </c>
      <c r="V90" s="24">
        <v>11</v>
      </c>
      <c r="W90" s="23">
        <v>19</v>
      </c>
      <c r="X90" s="24">
        <v>0</v>
      </c>
      <c r="Y90" s="20">
        <v>24</v>
      </c>
      <c r="Z90" s="19">
        <v>147</v>
      </c>
      <c r="AA90" s="23">
        <v>119</v>
      </c>
      <c r="AB90" s="24">
        <v>29</v>
      </c>
      <c r="AC90" s="23">
        <v>46</v>
      </c>
      <c r="AD90" s="24">
        <v>29</v>
      </c>
      <c r="AE90" s="23">
        <v>46</v>
      </c>
      <c r="AF90" s="24">
        <v>0</v>
      </c>
      <c r="AG90" s="23">
        <v>12</v>
      </c>
      <c r="AH90" s="24">
        <v>81</v>
      </c>
      <c r="AI90" s="23">
        <v>53</v>
      </c>
      <c r="AJ90" s="24">
        <v>81</v>
      </c>
      <c r="AK90" s="23">
        <v>53</v>
      </c>
      <c r="AL90" s="24">
        <v>0</v>
      </c>
      <c r="AM90" s="23">
        <v>12</v>
      </c>
      <c r="AN90" s="24">
        <v>37</v>
      </c>
      <c r="AO90" s="23">
        <v>42</v>
      </c>
      <c r="AP90" s="24">
        <v>37</v>
      </c>
      <c r="AQ90" s="23">
        <v>42</v>
      </c>
      <c r="AR90" s="24">
        <v>0</v>
      </c>
      <c r="AS90" s="20">
        <v>12</v>
      </c>
      <c r="AT90" s="19">
        <v>561</v>
      </c>
      <c r="AU90" s="23">
        <v>177</v>
      </c>
      <c r="AV90" s="24">
        <v>132</v>
      </c>
      <c r="AW90" s="23">
        <v>82</v>
      </c>
      <c r="AX90" s="24">
        <v>132</v>
      </c>
      <c r="AY90" s="23">
        <v>82</v>
      </c>
      <c r="AZ90" s="24">
        <v>0</v>
      </c>
      <c r="BA90" s="23">
        <v>12</v>
      </c>
      <c r="BB90" s="24">
        <v>351</v>
      </c>
      <c r="BC90" s="23">
        <v>110</v>
      </c>
      <c r="BD90" s="24">
        <v>340</v>
      </c>
      <c r="BE90" s="23">
        <v>109</v>
      </c>
      <c r="BF90" s="24">
        <v>11</v>
      </c>
      <c r="BG90" s="23">
        <v>17</v>
      </c>
      <c r="BH90" s="24">
        <v>78</v>
      </c>
      <c r="BI90" s="23">
        <v>36</v>
      </c>
      <c r="BJ90" s="24">
        <v>78</v>
      </c>
      <c r="BK90" s="23">
        <v>36</v>
      </c>
      <c r="BL90" s="24">
        <v>0</v>
      </c>
      <c r="BM90" s="20">
        <v>12</v>
      </c>
      <c r="BN90" s="19">
        <v>1312</v>
      </c>
      <c r="BO90" s="23">
        <v>272</v>
      </c>
      <c r="BP90" s="24">
        <v>131</v>
      </c>
      <c r="BQ90" s="23">
        <v>68</v>
      </c>
      <c r="BR90" s="24">
        <v>131</v>
      </c>
      <c r="BS90" s="23">
        <v>68</v>
      </c>
      <c r="BT90" s="26">
        <v>0</v>
      </c>
      <c r="BU90" s="23">
        <v>12</v>
      </c>
      <c r="BV90" s="24">
        <v>918</v>
      </c>
      <c r="BW90" s="23">
        <v>205</v>
      </c>
      <c r="BX90" s="24">
        <v>908</v>
      </c>
      <c r="BY90" s="23">
        <v>205</v>
      </c>
      <c r="BZ90" s="24">
        <v>10</v>
      </c>
      <c r="CA90" s="23">
        <v>16</v>
      </c>
      <c r="CB90" s="24">
        <v>263</v>
      </c>
      <c r="CC90" s="23">
        <v>115</v>
      </c>
      <c r="CD90" s="24">
        <v>263</v>
      </c>
      <c r="CE90" s="23">
        <v>115</v>
      </c>
      <c r="CF90" s="24">
        <v>0</v>
      </c>
      <c r="CG90" s="20">
        <v>12</v>
      </c>
    </row>
    <row r="91" spans="1:85" x14ac:dyDescent="0.3">
      <c r="A91" t="s">
        <v>181</v>
      </c>
      <c r="B91">
        <v>20754</v>
      </c>
      <c r="C91" t="s">
        <v>182</v>
      </c>
      <c r="D91" s="19">
        <v>6783</v>
      </c>
      <c r="E91" s="20">
        <v>353</v>
      </c>
      <c r="F91" s="19">
        <v>406</v>
      </c>
      <c r="G91" s="23">
        <v>267</v>
      </c>
      <c r="H91" s="24">
        <v>126</v>
      </c>
      <c r="I91" s="23">
        <v>155</v>
      </c>
      <c r="J91" s="24">
        <v>106</v>
      </c>
      <c r="K91" s="23">
        <v>142</v>
      </c>
      <c r="L91" s="24">
        <v>20</v>
      </c>
      <c r="M91" s="23">
        <v>47</v>
      </c>
      <c r="N91" s="24">
        <v>186</v>
      </c>
      <c r="O91" s="23">
        <v>117</v>
      </c>
      <c r="P91" s="24">
        <v>90</v>
      </c>
      <c r="Q91" s="23">
        <v>74</v>
      </c>
      <c r="R91" s="24">
        <v>96</v>
      </c>
      <c r="S91" s="23">
        <v>92</v>
      </c>
      <c r="T91" s="24">
        <v>94</v>
      </c>
      <c r="U91" s="23">
        <v>88</v>
      </c>
      <c r="V91" s="24">
        <v>94</v>
      </c>
      <c r="W91" s="23">
        <v>88</v>
      </c>
      <c r="X91" s="24">
        <v>0</v>
      </c>
      <c r="Y91" s="20">
        <v>34</v>
      </c>
      <c r="Z91" s="19">
        <v>229</v>
      </c>
      <c r="AA91" s="23">
        <v>136</v>
      </c>
      <c r="AB91" s="24">
        <v>64</v>
      </c>
      <c r="AC91" s="23">
        <v>73</v>
      </c>
      <c r="AD91" s="24">
        <v>64</v>
      </c>
      <c r="AE91" s="23">
        <v>73</v>
      </c>
      <c r="AF91" s="24">
        <v>0</v>
      </c>
      <c r="AG91" s="23">
        <v>17</v>
      </c>
      <c r="AH91" s="24">
        <v>114</v>
      </c>
      <c r="AI91" s="23">
        <v>70</v>
      </c>
      <c r="AJ91" s="24">
        <v>100</v>
      </c>
      <c r="AK91" s="23">
        <v>68</v>
      </c>
      <c r="AL91" s="24">
        <v>14</v>
      </c>
      <c r="AM91" s="23">
        <v>21</v>
      </c>
      <c r="AN91" s="24">
        <v>51</v>
      </c>
      <c r="AO91" s="23">
        <v>51</v>
      </c>
      <c r="AP91" s="24">
        <v>51</v>
      </c>
      <c r="AQ91" s="23">
        <v>51</v>
      </c>
      <c r="AR91" s="24">
        <v>0</v>
      </c>
      <c r="AS91" s="20">
        <v>17</v>
      </c>
      <c r="AT91" s="19">
        <v>1380</v>
      </c>
      <c r="AU91" s="23">
        <v>263</v>
      </c>
      <c r="AV91" s="24">
        <v>350</v>
      </c>
      <c r="AW91" s="23">
        <v>116</v>
      </c>
      <c r="AX91" s="24">
        <v>350</v>
      </c>
      <c r="AY91" s="23">
        <v>116</v>
      </c>
      <c r="AZ91" s="24">
        <v>0</v>
      </c>
      <c r="BA91" s="23">
        <v>17</v>
      </c>
      <c r="BB91" s="24">
        <v>777</v>
      </c>
      <c r="BC91" s="23">
        <v>153</v>
      </c>
      <c r="BD91" s="24">
        <v>685</v>
      </c>
      <c r="BE91" s="23">
        <v>132</v>
      </c>
      <c r="BF91" s="24">
        <v>92</v>
      </c>
      <c r="BG91" s="23">
        <v>61</v>
      </c>
      <c r="BH91" s="24">
        <v>253</v>
      </c>
      <c r="BI91" s="23">
        <v>79</v>
      </c>
      <c r="BJ91" s="24">
        <v>253</v>
      </c>
      <c r="BK91" s="23">
        <v>79</v>
      </c>
      <c r="BL91" s="24">
        <v>0</v>
      </c>
      <c r="BM91" s="20">
        <v>17</v>
      </c>
      <c r="BN91" s="19">
        <v>4768</v>
      </c>
      <c r="BO91" s="23">
        <v>457</v>
      </c>
      <c r="BP91" s="24">
        <v>930</v>
      </c>
      <c r="BQ91" s="23">
        <v>178</v>
      </c>
      <c r="BR91" s="24">
        <v>930</v>
      </c>
      <c r="BS91" s="23">
        <v>178</v>
      </c>
      <c r="BT91" s="26">
        <v>0</v>
      </c>
      <c r="BU91" s="23">
        <v>17</v>
      </c>
      <c r="BV91" s="24">
        <v>3115</v>
      </c>
      <c r="BW91" s="23">
        <v>335</v>
      </c>
      <c r="BX91" s="24">
        <v>2934</v>
      </c>
      <c r="BY91" s="23">
        <v>326</v>
      </c>
      <c r="BZ91" s="24">
        <v>181</v>
      </c>
      <c r="CA91" s="23">
        <v>120</v>
      </c>
      <c r="CB91" s="24">
        <v>723</v>
      </c>
      <c r="CC91" s="23">
        <v>144</v>
      </c>
      <c r="CD91" s="24">
        <v>723</v>
      </c>
      <c r="CE91" s="23">
        <v>144</v>
      </c>
      <c r="CF91" s="24">
        <v>0</v>
      </c>
      <c r="CG91" s="20">
        <v>17</v>
      </c>
    </row>
    <row r="92" spans="1:85" x14ac:dyDescent="0.3">
      <c r="A92" t="s">
        <v>183</v>
      </c>
      <c r="B92">
        <v>20755</v>
      </c>
      <c r="C92" t="s">
        <v>184</v>
      </c>
      <c r="D92" s="19">
        <v>7186</v>
      </c>
      <c r="E92" s="20">
        <v>652</v>
      </c>
      <c r="F92" s="19">
        <v>1153</v>
      </c>
      <c r="G92" s="23">
        <v>464</v>
      </c>
      <c r="H92" s="24">
        <v>649</v>
      </c>
      <c r="I92" s="23">
        <v>296</v>
      </c>
      <c r="J92" s="24">
        <v>640</v>
      </c>
      <c r="K92" s="23">
        <v>293</v>
      </c>
      <c r="L92" s="24">
        <v>9</v>
      </c>
      <c r="M92" s="23">
        <v>34</v>
      </c>
      <c r="N92" s="24">
        <v>504</v>
      </c>
      <c r="O92" s="23">
        <v>201</v>
      </c>
      <c r="P92" s="24">
        <v>423</v>
      </c>
      <c r="Q92" s="23">
        <v>196</v>
      </c>
      <c r="R92" s="24">
        <v>81</v>
      </c>
      <c r="S92" s="23">
        <v>91</v>
      </c>
      <c r="T92" s="24">
        <v>0</v>
      </c>
      <c r="U92" s="23">
        <v>38</v>
      </c>
      <c r="V92" s="24">
        <v>0</v>
      </c>
      <c r="W92" s="23">
        <v>38</v>
      </c>
      <c r="X92" s="24">
        <v>0</v>
      </c>
      <c r="Y92" s="20">
        <v>38</v>
      </c>
      <c r="Z92" s="19">
        <v>1303</v>
      </c>
      <c r="AA92" s="23">
        <v>333</v>
      </c>
      <c r="AB92" s="24">
        <v>769</v>
      </c>
      <c r="AC92" s="23">
        <v>205</v>
      </c>
      <c r="AD92" s="24">
        <v>769</v>
      </c>
      <c r="AE92" s="23">
        <v>205</v>
      </c>
      <c r="AF92" s="24">
        <v>0</v>
      </c>
      <c r="AG92" s="23">
        <v>19</v>
      </c>
      <c r="AH92" s="24">
        <v>534</v>
      </c>
      <c r="AI92" s="23">
        <v>150</v>
      </c>
      <c r="AJ92" s="24">
        <v>519</v>
      </c>
      <c r="AK92" s="23">
        <v>145</v>
      </c>
      <c r="AL92" s="24">
        <v>15</v>
      </c>
      <c r="AM92" s="23">
        <v>24</v>
      </c>
      <c r="AN92" s="24">
        <v>0</v>
      </c>
      <c r="AO92" s="23">
        <v>19</v>
      </c>
      <c r="AP92" s="24">
        <v>0</v>
      </c>
      <c r="AQ92" s="23">
        <v>19</v>
      </c>
      <c r="AR92" s="24">
        <v>0</v>
      </c>
      <c r="AS92" s="20">
        <v>19</v>
      </c>
      <c r="AT92" s="19">
        <v>2390</v>
      </c>
      <c r="AU92" s="23">
        <v>433</v>
      </c>
      <c r="AV92" s="24">
        <v>1199</v>
      </c>
      <c r="AW92" s="23">
        <v>214</v>
      </c>
      <c r="AX92" s="24">
        <v>1171</v>
      </c>
      <c r="AY92" s="23">
        <v>213</v>
      </c>
      <c r="AZ92" s="24">
        <v>28</v>
      </c>
      <c r="BA92" s="23">
        <v>39</v>
      </c>
      <c r="BB92" s="24">
        <v>1154</v>
      </c>
      <c r="BC92" s="23">
        <v>257</v>
      </c>
      <c r="BD92" s="24">
        <v>1086</v>
      </c>
      <c r="BE92" s="23">
        <v>248</v>
      </c>
      <c r="BF92" s="24">
        <v>68</v>
      </c>
      <c r="BG92" s="23">
        <v>53</v>
      </c>
      <c r="BH92" s="24">
        <v>37</v>
      </c>
      <c r="BI92" s="23">
        <v>38</v>
      </c>
      <c r="BJ92" s="24">
        <v>37</v>
      </c>
      <c r="BK92" s="23">
        <v>38</v>
      </c>
      <c r="BL92" s="24">
        <v>0</v>
      </c>
      <c r="BM92" s="20">
        <v>19</v>
      </c>
      <c r="BN92" s="19">
        <v>2340</v>
      </c>
      <c r="BO92" s="23">
        <v>371</v>
      </c>
      <c r="BP92" s="24">
        <v>782</v>
      </c>
      <c r="BQ92" s="23">
        <v>186</v>
      </c>
      <c r="BR92" s="24">
        <v>782</v>
      </c>
      <c r="BS92" s="23">
        <v>186</v>
      </c>
      <c r="BT92" s="26">
        <v>0</v>
      </c>
      <c r="BU92" s="23">
        <v>19</v>
      </c>
      <c r="BV92" s="24">
        <v>1507</v>
      </c>
      <c r="BW92" s="23">
        <v>268</v>
      </c>
      <c r="BX92" s="24">
        <v>1475</v>
      </c>
      <c r="BY92" s="23">
        <v>259</v>
      </c>
      <c r="BZ92" s="24">
        <v>32</v>
      </c>
      <c r="CA92" s="23">
        <v>33</v>
      </c>
      <c r="CB92" s="24">
        <v>51</v>
      </c>
      <c r="CC92" s="23">
        <v>13</v>
      </c>
      <c r="CD92" s="24">
        <v>51</v>
      </c>
      <c r="CE92" s="23">
        <v>13</v>
      </c>
      <c r="CF92" s="24">
        <v>0</v>
      </c>
      <c r="CG92" s="20">
        <v>19</v>
      </c>
    </row>
    <row r="93" spans="1:85" x14ac:dyDescent="0.3">
      <c r="A93" t="s">
        <v>185</v>
      </c>
      <c r="B93">
        <v>20758</v>
      </c>
      <c r="C93" t="s">
        <v>186</v>
      </c>
      <c r="D93" s="19">
        <v>472</v>
      </c>
      <c r="E93" s="20">
        <v>117</v>
      </c>
      <c r="F93" s="19">
        <v>56</v>
      </c>
      <c r="G93" s="23">
        <v>80</v>
      </c>
      <c r="H93" s="24">
        <v>27</v>
      </c>
      <c r="I93" s="23">
        <v>55</v>
      </c>
      <c r="J93" s="24">
        <v>27</v>
      </c>
      <c r="K93" s="23">
        <v>55</v>
      </c>
      <c r="L93" s="24">
        <v>0</v>
      </c>
      <c r="M93" s="23">
        <v>24</v>
      </c>
      <c r="N93" s="24">
        <v>19</v>
      </c>
      <c r="O93" s="23">
        <v>30</v>
      </c>
      <c r="P93" s="24">
        <v>19</v>
      </c>
      <c r="Q93" s="23">
        <v>30</v>
      </c>
      <c r="R93" s="24">
        <v>0</v>
      </c>
      <c r="S93" s="23">
        <v>24</v>
      </c>
      <c r="T93" s="24">
        <v>10</v>
      </c>
      <c r="U93" s="23">
        <v>28</v>
      </c>
      <c r="V93" s="24">
        <v>10</v>
      </c>
      <c r="W93" s="23">
        <v>28</v>
      </c>
      <c r="X93" s="24">
        <v>0</v>
      </c>
      <c r="Y93" s="20">
        <v>24</v>
      </c>
      <c r="Z93" s="19">
        <v>9</v>
      </c>
      <c r="AA93" s="23">
        <v>13</v>
      </c>
      <c r="AB93" s="24">
        <v>0</v>
      </c>
      <c r="AC93" s="23">
        <v>12</v>
      </c>
      <c r="AD93" s="24">
        <v>0</v>
      </c>
      <c r="AE93" s="23">
        <v>12</v>
      </c>
      <c r="AF93" s="24">
        <v>0</v>
      </c>
      <c r="AG93" s="23">
        <v>12</v>
      </c>
      <c r="AH93" s="24">
        <v>0</v>
      </c>
      <c r="AI93" s="23">
        <v>12</v>
      </c>
      <c r="AJ93" s="24">
        <v>0</v>
      </c>
      <c r="AK93" s="23">
        <v>12</v>
      </c>
      <c r="AL93" s="24">
        <v>0</v>
      </c>
      <c r="AM93" s="23">
        <v>12</v>
      </c>
      <c r="AN93" s="24">
        <v>9</v>
      </c>
      <c r="AO93" s="23">
        <v>13</v>
      </c>
      <c r="AP93" s="24">
        <v>9</v>
      </c>
      <c r="AQ93" s="23">
        <v>13</v>
      </c>
      <c r="AR93" s="24">
        <v>0</v>
      </c>
      <c r="AS93" s="20">
        <v>12</v>
      </c>
      <c r="AT93" s="19">
        <v>62</v>
      </c>
      <c r="AU93" s="23">
        <v>57</v>
      </c>
      <c r="AV93" s="24">
        <v>0</v>
      </c>
      <c r="AW93" s="23">
        <v>12</v>
      </c>
      <c r="AX93" s="24">
        <v>0</v>
      </c>
      <c r="AY93" s="23">
        <v>12</v>
      </c>
      <c r="AZ93" s="24">
        <v>0</v>
      </c>
      <c r="BA93" s="23">
        <v>12</v>
      </c>
      <c r="BB93" s="24">
        <v>21</v>
      </c>
      <c r="BC93" s="23">
        <v>34</v>
      </c>
      <c r="BD93" s="24">
        <v>21</v>
      </c>
      <c r="BE93" s="23">
        <v>34</v>
      </c>
      <c r="BF93" s="24">
        <v>0</v>
      </c>
      <c r="BG93" s="23">
        <v>12</v>
      </c>
      <c r="BH93" s="24">
        <v>41</v>
      </c>
      <c r="BI93" s="23">
        <v>47</v>
      </c>
      <c r="BJ93" s="24">
        <v>41</v>
      </c>
      <c r="BK93" s="23">
        <v>47</v>
      </c>
      <c r="BL93" s="24">
        <v>0</v>
      </c>
      <c r="BM93" s="20">
        <v>12</v>
      </c>
      <c r="BN93" s="19">
        <v>345</v>
      </c>
      <c r="BO93" s="23">
        <v>115</v>
      </c>
      <c r="BP93" s="24">
        <v>34</v>
      </c>
      <c r="BQ93" s="23">
        <v>36</v>
      </c>
      <c r="BR93" s="24">
        <v>34</v>
      </c>
      <c r="BS93" s="23">
        <v>36</v>
      </c>
      <c r="BT93" s="26">
        <v>0</v>
      </c>
      <c r="BU93" s="23">
        <v>12</v>
      </c>
      <c r="BV93" s="24">
        <v>257</v>
      </c>
      <c r="BW93" s="23">
        <v>95</v>
      </c>
      <c r="BX93" s="24">
        <v>257</v>
      </c>
      <c r="BY93" s="23">
        <v>95</v>
      </c>
      <c r="BZ93" s="24">
        <v>0</v>
      </c>
      <c r="CA93" s="23">
        <v>12</v>
      </c>
      <c r="CB93" s="24">
        <v>54</v>
      </c>
      <c r="CC93" s="23">
        <v>46</v>
      </c>
      <c r="CD93" s="24">
        <v>54</v>
      </c>
      <c r="CE93" s="23">
        <v>46</v>
      </c>
      <c r="CF93" s="24">
        <v>0</v>
      </c>
      <c r="CG93" s="20">
        <v>12</v>
      </c>
    </row>
    <row r="94" spans="1:85" x14ac:dyDescent="0.3">
      <c r="A94" t="s">
        <v>187</v>
      </c>
      <c r="B94">
        <v>20759</v>
      </c>
      <c r="C94" t="s">
        <v>188</v>
      </c>
      <c r="D94" s="19">
        <v>4786</v>
      </c>
      <c r="E94" s="20">
        <v>722</v>
      </c>
      <c r="F94" s="19">
        <v>280</v>
      </c>
      <c r="G94" s="23">
        <v>178</v>
      </c>
      <c r="H94" s="24">
        <v>78</v>
      </c>
      <c r="I94" s="23">
        <v>78</v>
      </c>
      <c r="J94" s="24">
        <v>78</v>
      </c>
      <c r="K94" s="23">
        <v>78</v>
      </c>
      <c r="L94" s="24">
        <v>0</v>
      </c>
      <c r="M94" s="23">
        <v>24</v>
      </c>
      <c r="N94" s="24">
        <v>93</v>
      </c>
      <c r="O94" s="23">
        <v>73</v>
      </c>
      <c r="P94" s="24">
        <v>71</v>
      </c>
      <c r="Q94" s="23">
        <v>63</v>
      </c>
      <c r="R94" s="24">
        <v>22</v>
      </c>
      <c r="S94" s="23">
        <v>46</v>
      </c>
      <c r="T94" s="24">
        <v>109</v>
      </c>
      <c r="U94" s="23">
        <v>120</v>
      </c>
      <c r="V94" s="24">
        <v>109</v>
      </c>
      <c r="W94" s="23">
        <v>120</v>
      </c>
      <c r="X94" s="24">
        <v>0</v>
      </c>
      <c r="Y94" s="20">
        <v>24</v>
      </c>
      <c r="Z94" s="19">
        <v>72</v>
      </c>
      <c r="AA94" s="23">
        <v>87</v>
      </c>
      <c r="AB94" s="24">
        <v>37</v>
      </c>
      <c r="AC94" s="23">
        <v>57</v>
      </c>
      <c r="AD94" s="24">
        <v>37</v>
      </c>
      <c r="AE94" s="23">
        <v>57</v>
      </c>
      <c r="AF94" s="24">
        <v>0</v>
      </c>
      <c r="AG94" s="23">
        <v>12</v>
      </c>
      <c r="AH94" s="24">
        <v>17</v>
      </c>
      <c r="AI94" s="23">
        <v>27</v>
      </c>
      <c r="AJ94" s="24">
        <v>17</v>
      </c>
      <c r="AK94" s="23">
        <v>27</v>
      </c>
      <c r="AL94" s="24">
        <v>0</v>
      </c>
      <c r="AM94" s="23">
        <v>12</v>
      </c>
      <c r="AN94" s="24">
        <v>18</v>
      </c>
      <c r="AO94" s="23">
        <v>28</v>
      </c>
      <c r="AP94" s="24">
        <v>18</v>
      </c>
      <c r="AQ94" s="23">
        <v>28</v>
      </c>
      <c r="AR94" s="24">
        <v>0</v>
      </c>
      <c r="AS94" s="20">
        <v>12</v>
      </c>
      <c r="AT94" s="19">
        <v>595</v>
      </c>
      <c r="AU94" s="23">
        <v>312</v>
      </c>
      <c r="AV94" s="24">
        <v>190</v>
      </c>
      <c r="AW94" s="23">
        <v>145</v>
      </c>
      <c r="AX94" s="24">
        <v>114</v>
      </c>
      <c r="AY94" s="23">
        <v>108</v>
      </c>
      <c r="AZ94" s="24">
        <v>76</v>
      </c>
      <c r="BA94" s="23">
        <v>111</v>
      </c>
      <c r="BB94" s="24">
        <v>285</v>
      </c>
      <c r="BC94" s="23">
        <v>160</v>
      </c>
      <c r="BD94" s="24">
        <v>267</v>
      </c>
      <c r="BE94" s="23">
        <v>154</v>
      </c>
      <c r="BF94" s="24">
        <v>18</v>
      </c>
      <c r="BG94" s="23">
        <v>27</v>
      </c>
      <c r="BH94" s="24">
        <v>120</v>
      </c>
      <c r="BI94" s="23">
        <v>81</v>
      </c>
      <c r="BJ94" s="24">
        <v>120</v>
      </c>
      <c r="BK94" s="23">
        <v>81</v>
      </c>
      <c r="BL94" s="24">
        <v>0</v>
      </c>
      <c r="BM94" s="20">
        <v>12</v>
      </c>
      <c r="BN94" s="19">
        <v>3839</v>
      </c>
      <c r="BO94" s="23">
        <v>632</v>
      </c>
      <c r="BP94" s="24">
        <v>986</v>
      </c>
      <c r="BQ94" s="23">
        <v>337</v>
      </c>
      <c r="BR94" s="24">
        <v>986</v>
      </c>
      <c r="BS94" s="23">
        <v>337</v>
      </c>
      <c r="BT94" s="26">
        <v>0</v>
      </c>
      <c r="BU94" s="23">
        <v>12</v>
      </c>
      <c r="BV94" s="24">
        <v>2380</v>
      </c>
      <c r="BW94" s="23">
        <v>343</v>
      </c>
      <c r="BX94" s="24">
        <v>2325</v>
      </c>
      <c r="BY94" s="23">
        <v>339</v>
      </c>
      <c r="BZ94" s="24">
        <v>55</v>
      </c>
      <c r="CA94" s="23">
        <v>63</v>
      </c>
      <c r="CB94" s="24">
        <v>473</v>
      </c>
      <c r="CC94" s="23">
        <v>172</v>
      </c>
      <c r="CD94" s="24">
        <v>473</v>
      </c>
      <c r="CE94" s="23">
        <v>172</v>
      </c>
      <c r="CF94" s="24">
        <v>0</v>
      </c>
      <c r="CG94" s="20">
        <v>12</v>
      </c>
    </row>
    <row r="95" spans="1:85" x14ac:dyDescent="0.3">
      <c r="A95" t="s">
        <v>189</v>
      </c>
      <c r="B95">
        <v>20762</v>
      </c>
      <c r="C95" t="s">
        <v>190</v>
      </c>
      <c r="D95" s="19">
        <v>2284</v>
      </c>
      <c r="E95" s="20">
        <v>289</v>
      </c>
      <c r="F95" s="19">
        <v>442</v>
      </c>
      <c r="G95" s="23">
        <v>361</v>
      </c>
      <c r="H95" s="24">
        <v>276</v>
      </c>
      <c r="I95" s="23">
        <v>271</v>
      </c>
      <c r="J95" s="24">
        <v>276</v>
      </c>
      <c r="K95" s="23">
        <v>271</v>
      </c>
      <c r="L95" s="24">
        <v>0</v>
      </c>
      <c r="M95" s="23">
        <v>24</v>
      </c>
      <c r="N95" s="24">
        <v>166</v>
      </c>
      <c r="O95" s="23">
        <v>108</v>
      </c>
      <c r="P95" s="24">
        <v>166</v>
      </c>
      <c r="Q95" s="23">
        <v>108</v>
      </c>
      <c r="R95" s="24">
        <v>0</v>
      </c>
      <c r="S95" s="23">
        <v>24</v>
      </c>
      <c r="T95" s="24">
        <v>0</v>
      </c>
      <c r="U95" s="23">
        <v>24</v>
      </c>
      <c r="V95" s="24">
        <v>0</v>
      </c>
      <c r="W95" s="23">
        <v>24</v>
      </c>
      <c r="X95" s="24">
        <v>0</v>
      </c>
      <c r="Y95" s="20">
        <v>24</v>
      </c>
      <c r="Z95" s="19">
        <v>286</v>
      </c>
      <c r="AA95" s="23">
        <v>197</v>
      </c>
      <c r="AB95" s="24">
        <v>151</v>
      </c>
      <c r="AC95" s="23">
        <v>107</v>
      </c>
      <c r="AD95" s="24">
        <v>151</v>
      </c>
      <c r="AE95" s="23">
        <v>107</v>
      </c>
      <c r="AF95" s="24">
        <v>0</v>
      </c>
      <c r="AG95" s="23">
        <v>12</v>
      </c>
      <c r="AH95" s="24">
        <v>135</v>
      </c>
      <c r="AI95" s="23">
        <v>93</v>
      </c>
      <c r="AJ95" s="24">
        <v>135</v>
      </c>
      <c r="AK95" s="23">
        <v>93</v>
      </c>
      <c r="AL95" s="24">
        <v>0</v>
      </c>
      <c r="AM95" s="23">
        <v>12</v>
      </c>
      <c r="AN95" s="24">
        <v>0</v>
      </c>
      <c r="AO95" s="23">
        <v>12</v>
      </c>
      <c r="AP95" s="24">
        <v>0</v>
      </c>
      <c r="AQ95" s="23">
        <v>12</v>
      </c>
      <c r="AR95" s="24">
        <v>0</v>
      </c>
      <c r="AS95" s="20">
        <v>12</v>
      </c>
      <c r="AT95" s="19">
        <v>868</v>
      </c>
      <c r="AU95" s="23">
        <v>300</v>
      </c>
      <c r="AV95" s="24">
        <v>465</v>
      </c>
      <c r="AW95" s="23">
        <v>167</v>
      </c>
      <c r="AX95" s="24">
        <v>465</v>
      </c>
      <c r="AY95" s="23">
        <v>167</v>
      </c>
      <c r="AZ95" s="24">
        <v>0</v>
      </c>
      <c r="BA95" s="23">
        <v>12</v>
      </c>
      <c r="BB95" s="24">
        <v>403</v>
      </c>
      <c r="BC95" s="23">
        <v>150</v>
      </c>
      <c r="BD95" s="24">
        <v>403</v>
      </c>
      <c r="BE95" s="23">
        <v>150</v>
      </c>
      <c r="BF95" s="24">
        <v>0</v>
      </c>
      <c r="BG95" s="23">
        <v>12</v>
      </c>
      <c r="BH95" s="24">
        <v>0</v>
      </c>
      <c r="BI95" s="23">
        <v>12</v>
      </c>
      <c r="BJ95" s="24">
        <v>0</v>
      </c>
      <c r="BK95" s="23">
        <v>12</v>
      </c>
      <c r="BL95" s="24">
        <v>0</v>
      </c>
      <c r="BM95" s="20">
        <v>12</v>
      </c>
      <c r="BN95" s="19">
        <v>688</v>
      </c>
      <c r="BO95" s="23">
        <v>215</v>
      </c>
      <c r="BP95" s="24">
        <v>247</v>
      </c>
      <c r="BQ95" s="23">
        <v>103</v>
      </c>
      <c r="BR95" s="24">
        <v>247</v>
      </c>
      <c r="BS95" s="23">
        <v>103</v>
      </c>
      <c r="BT95" s="26">
        <v>0</v>
      </c>
      <c r="BU95" s="23">
        <v>12</v>
      </c>
      <c r="BV95" s="24">
        <v>411</v>
      </c>
      <c r="BW95" s="23">
        <v>132</v>
      </c>
      <c r="BX95" s="24">
        <v>395</v>
      </c>
      <c r="BY95" s="23">
        <v>127</v>
      </c>
      <c r="BZ95" s="24">
        <v>16</v>
      </c>
      <c r="CA95" s="23">
        <v>24</v>
      </c>
      <c r="CB95" s="24">
        <v>30</v>
      </c>
      <c r="CC95" s="23">
        <v>33</v>
      </c>
      <c r="CD95" s="24">
        <v>30</v>
      </c>
      <c r="CE95" s="23">
        <v>33</v>
      </c>
      <c r="CF95" s="24">
        <v>0</v>
      </c>
      <c r="CG95" s="20">
        <v>12</v>
      </c>
    </row>
    <row r="96" spans="1:85" x14ac:dyDescent="0.3">
      <c r="A96" t="s">
        <v>191</v>
      </c>
      <c r="B96">
        <v>20763</v>
      </c>
      <c r="C96" t="s">
        <v>192</v>
      </c>
      <c r="D96" s="19">
        <v>2037</v>
      </c>
      <c r="E96" s="20">
        <v>479</v>
      </c>
      <c r="F96" s="19">
        <v>600</v>
      </c>
      <c r="G96" s="23">
        <v>530</v>
      </c>
      <c r="H96" s="24">
        <v>215</v>
      </c>
      <c r="I96" s="23">
        <v>214</v>
      </c>
      <c r="J96" s="24">
        <v>215</v>
      </c>
      <c r="K96" s="23">
        <v>214</v>
      </c>
      <c r="L96" s="24">
        <v>0</v>
      </c>
      <c r="M96" s="23">
        <v>24</v>
      </c>
      <c r="N96" s="24">
        <v>342</v>
      </c>
      <c r="O96" s="23">
        <v>296</v>
      </c>
      <c r="P96" s="24">
        <v>182</v>
      </c>
      <c r="Q96" s="23">
        <v>186</v>
      </c>
      <c r="R96" s="24">
        <v>160</v>
      </c>
      <c r="S96" s="23">
        <v>170</v>
      </c>
      <c r="T96" s="24">
        <v>43</v>
      </c>
      <c r="U96" s="23">
        <v>83</v>
      </c>
      <c r="V96" s="24">
        <v>43</v>
      </c>
      <c r="W96" s="23">
        <v>83</v>
      </c>
      <c r="X96" s="24">
        <v>0</v>
      </c>
      <c r="Y96" s="20">
        <v>24</v>
      </c>
      <c r="Z96" s="19">
        <v>0</v>
      </c>
      <c r="AA96" s="23">
        <v>12</v>
      </c>
      <c r="AB96" s="24">
        <v>0</v>
      </c>
      <c r="AC96" s="23">
        <v>12</v>
      </c>
      <c r="AD96" s="24">
        <v>0</v>
      </c>
      <c r="AE96" s="23">
        <v>12</v>
      </c>
      <c r="AF96" s="24">
        <v>0</v>
      </c>
      <c r="AG96" s="23">
        <v>12</v>
      </c>
      <c r="AH96" s="24">
        <v>0</v>
      </c>
      <c r="AI96" s="23">
        <v>12</v>
      </c>
      <c r="AJ96" s="24">
        <v>0</v>
      </c>
      <c r="AK96" s="23">
        <v>12</v>
      </c>
      <c r="AL96" s="24">
        <v>0</v>
      </c>
      <c r="AM96" s="23">
        <v>12</v>
      </c>
      <c r="AN96" s="24">
        <v>0</v>
      </c>
      <c r="AO96" s="23">
        <v>12</v>
      </c>
      <c r="AP96" s="24">
        <v>0</v>
      </c>
      <c r="AQ96" s="23">
        <v>12</v>
      </c>
      <c r="AR96" s="24">
        <v>0</v>
      </c>
      <c r="AS96" s="20">
        <v>12</v>
      </c>
      <c r="AT96" s="19">
        <v>363</v>
      </c>
      <c r="AU96" s="23">
        <v>186</v>
      </c>
      <c r="AV96" s="24">
        <v>22</v>
      </c>
      <c r="AW96" s="23">
        <v>37</v>
      </c>
      <c r="AX96" s="24">
        <v>22</v>
      </c>
      <c r="AY96" s="23">
        <v>37</v>
      </c>
      <c r="AZ96" s="24">
        <v>0</v>
      </c>
      <c r="BA96" s="23">
        <v>12</v>
      </c>
      <c r="BB96" s="24">
        <v>262</v>
      </c>
      <c r="BC96" s="23">
        <v>151</v>
      </c>
      <c r="BD96" s="24">
        <v>262</v>
      </c>
      <c r="BE96" s="23">
        <v>151</v>
      </c>
      <c r="BF96" s="24">
        <v>0</v>
      </c>
      <c r="BG96" s="23">
        <v>12</v>
      </c>
      <c r="BH96" s="24">
        <v>79</v>
      </c>
      <c r="BI96" s="23">
        <v>89</v>
      </c>
      <c r="BJ96" s="24">
        <v>79</v>
      </c>
      <c r="BK96" s="23">
        <v>89</v>
      </c>
      <c r="BL96" s="24">
        <v>0</v>
      </c>
      <c r="BM96" s="20">
        <v>12</v>
      </c>
      <c r="BN96" s="19">
        <v>1074</v>
      </c>
      <c r="BO96" s="23">
        <v>356</v>
      </c>
      <c r="BP96" s="24">
        <v>163</v>
      </c>
      <c r="BQ96" s="23">
        <v>137</v>
      </c>
      <c r="BR96" s="24">
        <v>163</v>
      </c>
      <c r="BS96" s="23">
        <v>137</v>
      </c>
      <c r="BT96" s="26">
        <v>0</v>
      </c>
      <c r="BU96" s="23">
        <v>12</v>
      </c>
      <c r="BV96" s="24">
        <v>715</v>
      </c>
      <c r="BW96" s="23">
        <v>285</v>
      </c>
      <c r="BX96" s="24">
        <v>715</v>
      </c>
      <c r="BY96" s="23">
        <v>285</v>
      </c>
      <c r="BZ96" s="24">
        <v>0</v>
      </c>
      <c r="CA96" s="23">
        <v>12</v>
      </c>
      <c r="CB96" s="24">
        <v>196</v>
      </c>
      <c r="CC96" s="23">
        <v>75</v>
      </c>
      <c r="CD96" s="24">
        <v>196</v>
      </c>
      <c r="CE96" s="23">
        <v>75</v>
      </c>
      <c r="CF96" s="24">
        <v>0</v>
      </c>
      <c r="CG96" s="20">
        <v>12</v>
      </c>
    </row>
    <row r="97" spans="1:85" x14ac:dyDescent="0.3">
      <c r="A97" t="s">
        <v>193</v>
      </c>
      <c r="B97">
        <v>20764</v>
      </c>
      <c r="C97" t="s">
        <v>194</v>
      </c>
      <c r="D97" s="19">
        <v>4312</v>
      </c>
      <c r="E97" s="20">
        <v>497</v>
      </c>
      <c r="F97" s="19">
        <v>281</v>
      </c>
      <c r="G97" s="23">
        <v>298</v>
      </c>
      <c r="H97" s="24">
        <v>99</v>
      </c>
      <c r="I97" s="23">
        <v>134</v>
      </c>
      <c r="J97" s="24">
        <v>99</v>
      </c>
      <c r="K97" s="23">
        <v>134</v>
      </c>
      <c r="L97" s="24">
        <v>0</v>
      </c>
      <c r="M97" s="23">
        <v>24</v>
      </c>
      <c r="N97" s="24">
        <v>166</v>
      </c>
      <c r="O97" s="23">
        <v>179</v>
      </c>
      <c r="P97" s="24">
        <v>133</v>
      </c>
      <c r="Q97" s="23">
        <v>133</v>
      </c>
      <c r="R97" s="24">
        <v>33</v>
      </c>
      <c r="S97" s="23">
        <v>62</v>
      </c>
      <c r="T97" s="24">
        <v>16</v>
      </c>
      <c r="U97" s="23">
        <v>38</v>
      </c>
      <c r="V97" s="24">
        <v>16</v>
      </c>
      <c r="W97" s="23">
        <v>38</v>
      </c>
      <c r="X97" s="24">
        <v>0</v>
      </c>
      <c r="Y97" s="20">
        <v>24</v>
      </c>
      <c r="Z97" s="19">
        <v>254</v>
      </c>
      <c r="AA97" s="23">
        <v>171</v>
      </c>
      <c r="AB97" s="24">
        <v>57</v>
      </c>
      <c r="AC97" s="23">
        <v>89</v>
      </c>
      <c r="AD97" s="24">
        <v>57</v>
      </c>
      <c r="AE97" s="23">
        <v>89</v>
      </c>
      <c r="AF97" s="24">
        <v>0</v>
      </c>
      <c r="AG97" s="23">
        <v>12</v>
      </c>
      <c r="AH97" s="24">
        <v>109</v>
      </c>
      <c r="AI97" s="23">
        <v>99</v>
      </c>
      <c r="AJ97" s="24">
        <v>75</v>
      </c>
      <c r="AK97" s="23">
        <v>97</v>
      </c>
      <c r="AL97" s="24">
        <v>34</v>
      </c>
      <c r="AM97" s="23">
        <v>38</v>
      </c>
      <c r="AN97" s="24">
        <v>88</v>
      </c>
      <c r="AO97" s="23">
        <v>103</v>
      </c>
      <c r="AP97" s="24">
        <v>88</v>
      </c>
      <c r="AQ97" s="23">
        <v>103</v>
      </c>
      <c r="AR97" s="24">
        <v>0</v>
      </c>
      <c r="AS97" s="20">
        <v>12</v>
      </c>
      <c r="AT97" s="19">
        <v>1608</v>
      </c>
      <c r="AU97" s="23">
        <v>511</v>
      </c>
      <c r="AV97" s="24">
        <v>624</v>
      </c>
      <c r="AW97" s="23">
        <v>251</v>
      </c>
      <c r="AX97" s="24">
        <v>624</v>
      </c>
      <c r="AY97" s="23">
        <v>251</v>
      </c>
      <c r="AZ97" s="24">
        <v>0</v>
      </c>
      <c r="BA97" s="23">
        <v>12</v>
      </c>
      <c r="BB97" s="24">
        <v>852</v>
      </c>
      <c r="BC97" s="23">
        <v>275</v>
      </c>
      <c r="BD97" s="24">
        <v>809</v>
      </c>
      <c r="BE97" s="23">
        <v>266</v>
      </c>
      <c r="BF97" s="24">
        <v>43</v>
      </c>
      <c r="BG97" s="23">
        <v>45</v>
      </c>
      <c r="BH97" s="24">
        <v>132</v>
      </c>
      <c r="BI97" s="23">
        <v>87</v>
      </c>
      <c r="BJ97" s="24">
        <v>132</v>
      </c>
      <c r="BK97" s="23">
        <v>87</v>
      </c>
      <c r="BL97" s="24">
        <v>0</v>
      </c>
      <c r="BM97" s="20">
        <v>12</v>
      </c>
      <c r="BN97" s="19">
        <v>2169</v>
      </c>
      <c r="BO97" s="23">
        <v>438</v>
      </c>
      <c r="BP97" s="24">
        <v>359</v>
      </c>
      <c r="BQ97" s="23">
        <v>177</v>
      </c>
      <c r="BR97" s="24">
        <v>359</v>
      </c>
      <c r="BS97" s="23">
        <v>177</v>
      </c>
      <c r="BT97" s="26">
        <v>0</v>
      </c>
      <c r="BU97" s="23">
        <v>12</v>
      </c>
      <c r="BV97" s="24">
        <v>1379</v>
      </c>
      <c r="BW97" s="23">
        <v>267</v>
      </c>
      <c r="BX97" s="24">
        <v>1239</v>
      </c>
      <c r="BY97" s="23">
        <v>265</v>
      </c>
      <c r="BZ97" s="24">
        <v>140</v>
      </c>
      <c r="CA97" s="23">
        <v>117</v>
      </c>
      <c r="CB97" s="24">
        <v>431</v>
      </c>
      <c r="CC97" s="23">
        <v>166</v>
      </c>
      <c r="CD97" s="24">
        <v>431</v>
      </c>
      <c r="CE97" s="23">
        <v>166</v>
      </c>
      <c r="CF97" s="24">
        <v>0</v>
      </c>
      <c r="CG97" s="20">
        <v>12</v>
      </c>
    </row>
    <row r="98" spans="1:85" x14ac:dyDescent="0.3">
      <c r="A98" t="s">
        <v>195</v>
      </c>
      <c r="B98">
        <v>20765</v>
      </c>
      <c r="C98" t="s">
        <v>196</v>
      </c>
      <c r="D98" s="19">
        <v>434</v>
      </c>
      <c r="E98" s="20">
        <v>110</v>
      </c>
      <c r="F98" s="19">
        <v>55</v>
      </c>
      <c r="G98" s="23">
        <v>73</v>
      </c>
      <c r="H98" s="24">
        <v>29</v>
      </c>
      <c r="I98" s="23">
        <v>45</v>
      </c>
      <c r="J98" s="24">
        <v>0</v>
      </c>
      <c r="K98" s="23">
        <v>24</v>
      </c>
      <c r="L98" s="24">
        <v>29</v>
      </c>
      <c r="M98" s="23">
        <v>45</v>
      </c>
      <c r="N98" s="24">
        <v>26</v>
      </c>
      <c r="O98" s="23">
        <v>40</v>
      </c>
      <c r="P98" s="24">
        <v>26</v>
      </c>
      <c r="Q98" s="23">
        <v>40</v>
      </c>
      <c r="R98" s="24">
        <v>0</v>
      </c>
      <c r="S98" s="23">
        <v>24</v>
      </c>
      <c r="T98" s="24">
        <v>0</v>
      </c>
      <c r="U98" s="23">
        <v>24</v>
      </c>
      <c r="V98" s="24">
        <v>0</v>
      </c>
      <c r="W98" s="23">
        <v>24</v>
      </c>
      <c r="X98" s="24">
        <v>0</v>
      </c>
      <c r="Y98" s="20">
        <v>24</v>
      </c>
      <c r="Z98" s="19">
        <v>70</v>
      </c>
      <c r="AA98" s="23">
        <v>66</v>
      </c>
      <c r="AB98" s="24">
        <v>23</v>
      </c>
      <c r="AC98" s="23">
        <v>34</v>
      </c>
      <c r="AD98" s="24">
        <v>23</v>
      </c>
      <c r="AE98" s="23">
        <v>34</v>
      </c>
      <c r="AF98" s="24">
        <v>0</v>
      </c>
      <c r="AG98" s="23">
        <v>12</v>
      </c>
      <c r="AH98" s="24">
        <v>11</v>
      </c>
      <c r="AI98" s="23">
        <v>17</v>
      </c>
      <c r="AJ98" s="24">
        <v>11</v>
      </c>
      <c r="AK98" s="23">
        <v>17</v>
      </c>
      <c r="AL98" s="24">
        <v>0</v>
      </c>
      <c r="AM98" s="23">
        <v>12</v>
      </c>
      <c r="AN98" s="24">
        <v>36</v>
      </c>
      <c r="AO98" s="23">
        <v>41</v>
      </c>
      <c r="AP98" s="24">
        <v>36</v>
      </c>
      <c r="AQ98" s="23">
        <v>41</v>
      </c>
      <c r="AR98" s="24">
        <v>0</v>
      </c>
      <c r="AS98" s="20">
        <v>12</v>
      </c>
      <c r="AT98" s="19">
        <v>60</v>
      </c>
      <c r="AU98" s="23">
        <v>59</v>
      </c>
      <c r="AV98" s="24">
        <v>0</v>
      </c>
      <c r="AW98" s="23">
        <v>12</v>
      </c>
      <c r="AX98" s="24">
        <v>0</v>
      </c>
      <c r="AY98" s="23">
        <v>12</v>
      </c>
      <c r="AZ98" s="24">
        <v>0</v>
      </c>
      <c r="BA98" s="23">
        <v>12</v>
      </c>
      <c r="BB98" s="24">
        <v>43</v>
      </c>
      <c r="BC98" s="23">
        <v>53</v>
      </c>
      <c r="BD98" s="24">
        <v>43</v>
      </c>
      <c r="BE98" s="23">
        <v>53</v>
      </c>
      <c r="BF98" s="24">
        <v>0</v>
      </c>
      <c r="BG98" s="23">
        <v>12</v>
      </c>
      <c r="BH98" s="24">
        <v>17</v>
      </c>
      <c r="BI98" s="23">
        <v>26</v>
      </c>
      <c r="BJ98" s="24">
        <v>17</v>
      </c>
      <c r="BK98" s="23">
        <v>26</v>
      </c>
      <c r="BL98" s="24">
        <v>0</v>
      </c>
      <c r="BM98" s="20">
        <v>12</v>
      </c>
      <c r="BN98" s="19">
        <v>249</v>
      </c>
      <c r="BO98" s="23">
        <v>98</v>
      </c>
      <c r="BP98" s="24">
        <v>0</v>
      </c>
      <c r="BQ98" s="23">
        <v>12</v>
      </c>
      <c r="BR98" s="24">
        <v>0</v>
      </c>
      <c r="BS98" s="23">
        <v>12</v>
      </c>
      <c r="BT98" s="26">
        <v>0</v>
      </c>
      <c r="BU98" s="23">
        <v>12</v>
      </c>
      <c r="BV98" s="24">
        <v>140</v>
      </c>
      <c r="BW98" s="23">
        <v>71</v>
      </c>
      <c r="BX98" s="24">
        <v>132</v>
      </c>
      <c r="BY98" s="23">
        <v>72</v>
      </c>
      <c r="BZ98" s="24">
        <v>8</v>
      </c>
      <c r="CA98" s="23">
        <v>13</v>
      </c>
      <c r="CB98" s="24">
        <v>109</v>
      </c>
      <c r="CC98" s="23">
        <v>65</v>
      </c>
      <c r="CD98" s="24">
        <v>109</v>
      </c>
      <c r="CE98" s="23">
        <v>65</v>
      </c>
      <c r="CF98" s="24">
        <v>0</v>
      </c>
      <c r="CG98" s="20">
        <v>12</v>
      </c>
    </row>
    <row r="99" spans="1:85" x14ac:dyDescent="0.3">
      <c r="A99" t="s">
        <v>197</v>
      </c>
      <c r="B99">
        <v>20769</v>
      </c>
      <c r="C99" t="s">
        <v>198</v>
      </c>
      <c r="D99" s="19">
        <v>7014</v>
      </c>
      <c r="E99" s="20">
        <v>710</v>
      </c>
      <c r="F99" s="19">
        <v>901</v>
      </c>
      <c r="G99" s="23">
        <v>917</v>
      </c>
      <c r="H99" s="24">
        <v>369</v>
      </c>
      <c r="I99" s="23">
        <v>511</v>
      </c>
      <c r="J99" s="24">
        <v>279</v>
      </c>
      <c r="K99" s="23">
        <v>375</v>
      </c>
      <c r="L99" s="24">
        <v>90</v>
      </c>
      <c r="M99" s="23">
        <v>153</v>
      </c>
      <c r="N99" s="24">
        <v>449</v>
      </c>
      <c r="O99" s="23">
        <v>404</v>
      </c>
      <c r="P99" s="24">
        <v>270</v>
      </c>
      <c r="Q99" s="23">
        <v>237</v>
      </c>
      <c r="R99" s="24">
        <v>179</v>
      </c>
      <c r="S99" s="23">
        <v>279</v>
      </c>
      <c r="T99" s="24">
        <v>83</v>
      </c>
      <c r="U99" s="23">
        <v>111</v>
      </c>
      <c r="V99" s="24">
        <v>83</v>
      </c>
      <c r="W99" s="23">
        <v>111</v>
      </c>
      <c r="X99" s="24">
        <v>0</v>
      </c>
      <c r="Y99" s="20">
        <v>34</v>
      </c>
      <c r="Z99" s="19">
        <v>242</v>
      </c>
      <c r="AA99" s="23">
        <v>243</v>
      </c>
      <c r="AB99" s="24">
        <v>77</v>
      </c>
      <c r="AC99" s="23">
        <v>124</v>
      </c>
      <c r="AD99" s="24">
        <v>77</v>
      </c>
      <c r="AE99" s="23">
        <v>124</v>
      </c>
      <c r="AF99" s="24">
        <v>0</v>
      </c>
      <c r="AG99" s="23">
        <v>17</v>
      </c>
      <c r="AH99" s="24">
        <v>153</v>
      </c>
      <c r="AI99" s="23">
        <v>157</v>
      </c>
      <c r="AJ99" s="24">
        <v>153</v>
      </c>
      <c r="AK99" s="23">
        <v>157</v>
      </c>
      <c r="AL99" s="24">
        <v>0</v>
      </c>
      <c r="AM99" s="23">
        <v>17</v>
      </c>
      <c r="AN99" s="24">
        <v>12</v>
      </c>
      <c r="AO99" s="23">
        <v>20</v>
      </c>
      <c r="AP99" s="24">
        <v>12</v>
      </c>
      <c r="AQ99" s="23">
        <v>20</v>
      </c>
      <c r="AR99" s="24">
        <v>0</v>
      </c>
      <c r="AS99" s="20">
        <v>17</v>
      </c>
      <c r="AT99" s="19">
        <v>648</v>
      </c>
      <c r="AU99" s="23">
        <v>333</v>
      </c>
      <c r="AV99" s="24">
        <v>155</v>
      </c>
      <c r="AW99" s="23">
        <v>119</v>
      </c>
      <c r="AX99" s="24">
        <v>155</v>
      </c>
      <c r="AY99" s="23">
        <v>119</v>
      </c>
      <c r="AZ99" s="24">
        <v>0</v>
      </c>
      <c r="BA99" s="23">
        <v>17</v>
      </c>
      <c r="BB99" s="24">
        <v>410</v>
      </c>
      <c r="BC99" s="23">
        <v>221</v>
      </c>
      <c r="BD99" s="24">
        <v>255</v>
      </c>
      <c r="BE99" s="23">
        <v>131</v>
      </c>
      <c r="BF99" s="24">
        <v>155</v>
      </c>
      <c r="BG99" s="23">
        <v>160</v>
      </c>
      <c r="BH99" s="24">
        <v>83</v>
      </c>
      <c r="BI99" s="23">
        <v>51</v>
      </c>
      <c r="BJ99" s="24">
        <v>83</v>
      </c>
      <c r="BK99" s="23">
        <v>51</v>
      </c>
      <c r="BL99" s="24">
        <v>0</v>
      </c>
      <c r="BM99" s="20">
        <v>17</v>
      </c>
      <c r="BN99" s="19">
        <v>5223</v>
      </c>
      <c r="BO99" s="23">
        <v>573</v>
      </c>
      <c r="BP99" s="24">
        <v>1111</v>
      </c>
      <c r="BQ99" s="23">
        <v>209</v>
      </c>
      <c r="BR99" s="24">
        <v>1090</v>
      </c>
      <c r="BS99" s="23">
        <v>206</v>
      </c>
      <c r="BT99" s="26">
        <v>21</v>
      </c>
      <c r="BU99" s="23">
        <v>33</v>
      </c>
      <c r="BV99" s="24">
        <v>3438</v>
      </c>
      <c r="BW99" s="23">
        <v>368</v>
      </c>
      <c r="BX99" s="24">
        <v>3318</v>
      </c>
      <c r="BY99" s="23">
        <v>353</v>
      </c>
      <c r="BZ99" s="24">
        <v>120</v>
      </c>
      <c r="CA99" s="23">
        <v>103</v>
      </c>
      <c r="CB99" s="24">
        <v>674</v>
      </c>
      <c r="CC99" s="23">
        <v>178</v>
      </c>
      <c r="CD99" s="24">
        <v>641</v>
      </c>
      <c r="CE99" s="23">
        <v>178</v>
      </c>
      <c r="CF99" s="24">
        <v>33</v>
      </c>
      <c r="CG99" s="20">
        <v>40</v>
      </c>
    </row>
    <row r="100" spans="1:85" x14ac:dyDescent="0.3">
      <c r="A100" t="s">
        <v>199</v>
      </c>
      <c r="B100">
        <v>20770</v>
      </c>
      <c r="C100" t="s">
        <v>200</v>
      </c>
      <c r="D100" s="19">
        <v>26117</v>
      </c>
      <c r="E100" s="20">
        <v>608</v>
      </c>
      <c r="F100" s="19">
        <v>3608</v>
      </c>
      <c r="G100" s="23">
        <v>991</v>
      </c>
      <c r="H100" s="24">
        <v>1480</v>
      </c>
      <c r="I100" s="23">
        <v>517</v>
      </c>
      <c r="J100" s="24">
        <v>1401</v>
      </c>
      <c r="K100" s="23">
        <v>499</v>
      </c>
      <c r="L100" s="24">
        <v>79</v>
      </c>
      <c r="M100" s="23">
        <v>92</v>
      </c>
      <c r="N100" s="24">
        <v>1934</v>
      </c>
      <c r="O100" s="23">
        <v>584</v>
      </c>
      <c r="P100" s="24">
        <v>1308</v>
      </c>
      <c r="Q100" s="23">
        <v>440</v>
      </c>
      <c r="R100" s="24">
        <v>626</v>
      </c>
      <c r="S100" s="23">
        <v>313</v>
      </c>
      <c r="T100" s="24">
        <v>194</v>
      </c>
      <c r="U100" s="23">
        <v>122</v>
      </c>
      <c r="V100" s="24">
        <v>194</v>
      </c>
      <c r="W100" s="23">
        <v>122</v>
      </c>
      <c r="X100" s="24">
        <v>0</v>
      </c>
      <c r="Y100" s="20">
        <v>44</v>
      </c>
      <c r="Z100" s="19">
        <v>3084</v>
      </c>
      <c r="AA100" s="23">
        <v>737</v>
      </c>
      <c r="AB100" s="24">
        <v>1225</v>
      </c>
      <c r="AC100" s="23">
        <v>376</v>
      </c>
      <c r="AD100" s="24">
        <v>1082</v>
      </c>
      <c r="AE100" s="23">
        <v>343</v>
      </c>
      <c r="AF100" s="24">
        <v>143</v>
      </c>
      <c r="AG100" s="23">
        <v>104</v>
      </c>
      <c r="AH100" s="24">
        <v>1722</v>
      </c>
      <c r="AI100" s="23">
        <v>446</v>
      </c>
      <c r="AJ100" s="24">
        <v>1191</v>
      </c>
      <c r="AK100" s="23">
        <v>383</v>
      </c>
      <c r="AL100" s="24">
        <v>531</v>
      </c>
      <c r="AM100" s="23">
        <v>196</v>
      </c>
      <c r="AN100" s="24">
        <v>137</v>
      </c>
      <c r="AO100" s="23">
        <v>82</v>
      </c>
      <c r="AP100" s="24">
        <v>137</v>
      </c>
      <c r="AQ100" s="23">
        <v>82</v>
      </c>
      <c r="AR100" s="24">
        <v>0</v>
      </c>
      <c r="AS100" s="20">
        <v>22</v>
      </c>
      <c r="AT100" s="19">
        <v>8107</v>
      </c>
      <c r="AU100" s="23">
        <v>1042</v>
      </c>
      <c r="AV100" s="24">
        <v>2100</v>
      </c>
      <c r="AW100" s="23">
        <v>442</v>
      </c>
      <c r="AX100" s="24">
        <v>2028</v>
      </c>
      <c r="AY100" s="23">
        <v>442</v>
      </c>
      <c r="AZ100" s="24">
        <v>72</v>
      </c>
      <c r="BA100" s="23">
        <v>58</v>
      </c>
      <c r="BB100" s="24">
        <v>5584</v>
      </c>
      <c r="BC100" s="23">
        <v>747</v>
      </c>
      <c r="BD100" s="24">
        <v>4452</v>
      </c>
      <c r="BE100" s="23">
        <v>610</v>
      </c>
      <c r="BF100" s="24">
        <v>1132</v>
      </c>
      <c r="BG100" s="23">
        <v>374</v>
      </c>
      <c r="BH100" s="24">
        <v>423</v>
      </c>
      <c r="BI100" s="23">
        <v>141</v>
      </c>
      <c r="BJ100" s="24">
        <v>416</v>
      </c>
      <c r="BK100" s="23">
        <v>131</v>
      </c>
      <c r="BL100" s="24">
        <v>7</v>
      </c>
      <c r="BM100" s="20">
        <v>25</v>
      </c>
      <c r="BN100" s="19">
        <v>11318</v>
      </c>
      <c r="BO100" s="23">
        <v>1022</v>
      </c>
      <c r="BP100" s="24">
        <v>2203</v>
      </c>
      <c r="BQ100" s="23">
        <v>469</v>
      </c>
      <c r="BR100" s="24">
        <v>2122</v>
      </c>
      <c r="BS100" s="23">
        <v>469</v>
      </c>
      <c r="BT100" s="26">
        <v>81</v>
      </c>
      <c r="BU100" s="23">
        <v>64</v>
      </c>
      <c r="BV100" s="24">
        <v>7846</v>
      </c>
      <c r="BW100" s="23">
        <v>738</v>
      </c>
      <c r="BX100" s="24">
        <v>7200</v>
      </c>
      <c r="BY100" s="23">
        <v>679</v>
      </c>
      <c r="BZ100" s="24">
        <v>646</v>
      </c>
      <c r="CA100" s="23">
        <v>215</v>
      </c>
      <c r="CB100" s="24">
        <v>1269</v>
      </c>
      <c r="CC100" s="23">
        <v>203</v>
      </c>
      <c r="CD100" s="24">
        <v>1257</v>
      </c>
      <c r="CE100" s="23">
        <v>203</v>
      </c>
      <c r="CF100" s="24">
        <v>12</v>
      </c>
      <c r="CG100" s="20">
        <v>19</v>
      </c>
    </row>
    <row r="101" spans="1:85" x14ac:dyDescent="0.3">
      <c r="A101" t="s">
        <v>201</v>
      </c>
      <c r="B101">
        <v>20772</v>
      </c>
      <c r="C101" t="s">
        <v>202</v>
      </c>
      <c r="D101" s="19">
        <v>44217</v>
      </c>
      <c r="E101" s="20">
        <v>1497</v>
      </c>
      <c r="F101" s="19">
        <v>3778</v>
      </c>
      <c r="G101" s="23">
        <v>973</v>
      </c>
      <c r="H101" s="24">
        <v>1314</v>
      </c>
      <c r="I101" s="23">
        <v>588</v>
      </c>
      <c r="J101" s="24">
        <v>1221</v>
      </c>
      <c r="K101" s="23">
        <v>550</v>
      </c>
      <c r="L101" s="24">
        <v>93</v>
      </c>
      <c r="M101" s="23">
        <v>133</v>
      </c>
      <c r="N101" s="24">
        <v>2063</v>
      </c>
      <c r="O101" s="23">
        <v>513</v>
      </c>
      <c r="P101" s="24">
        <v>1660</v>
      </c>
      <c r="Q101" s="23">
        <v>450</v>
      </c>
      <c r="R101" s="24">
        <v>403</v>
      </c>
      <c r="S101" s="23">
        <v>210</v>
      </c>
      <c r="T101" s="24">
        <v>401</v>
      </c>
      <c r="U101" s="23">
        <v>142</v>
      </c>
      <c r="V101" s="24">
        <v>401</v>
      </c>
      <c r="W101" s="23">
        <v>142</v>
      </c>
      <c r="X101" s="24">
        <v>0</v>
      </c>
      <c r="Y101" s="20">
        <v>50</v>
      </c>
      <c r="Z101" s="19">
        <v>2074</v>
      </c>
      <c r="AA101" s="23">
        <v>687</v>
      </c>
      <c r="AB101" s="24">
        <v>922</v>
      </c>
      <c r="AC101" s="23">
        <v>526</v>
      </c>
      <c r="AD101" s="24">
        <v>922</v>
      </c>
      <c r="AE101" s="23">
        <v>526</v>
      </c>
      <c r="AF101" s="24">
        <v>0</v>
      </c>
      <c r="AG101" s="23">
        <v>25</v>
      </c>
      <c r="AH101" s="24">
        <v>914</v>
      </c>
      <c r="AI101" s="23">
        <v>239</v>
      </c>
      <c r="AJ101" s="24">
        <v>792</v>
      </c>
      <c r="AK101" s="23">
        <v>231</v>
      </c>
      <c r="AL101" s="24">
        <v>122</v>
      </c>
      <c r="AM101" s="23">
        <v>103</v>
      </c>
      <c r="AN101" s="24">
        <v>238</v>
      </c>
      <c r="AO101" s="23">
        <v>87</v>
      </c>
      <c r="AP101" s="24">
        <v>232</v>
      </c>
      <c r="AQ101" s="23">
        <v>86</v>
      </c>
      <c r="AR101" s="24">
        <v>6</v>
      </c>
      <c r="AS101" s="20">
        <v>9</v>
      </c>
      <c r="AT101" s="19">
        <v>9628</v>
      </c>
      <c r="AU101" s="23">
        <v>1135</v>
      </c>
      <c r="AV101" s="24">
        <v>2631</v>
      </c>
      <c r="AW101" s="23">
        <v>536</v>
      </c>
      <c r="AX101" s="24">
        <v>2527</v>
      </c>
      <c r="AY101" s="23">
        <v>519</v>
      </c>
      <c r="AZ101" s="24">
        <v>104</v>
      </c>
      <c r="BA101" s="23">
        <v>121</v>
      </c>
      <c r="BB101" s="24">
        <v>5883</v>
      </c>
      <c r="BC101" s="23">
        <v>760</v>
      </c>
      <c r="BD101" s="24">
        <v>5141</v>
      </c>
      <c r="BE101" s="23">
        <v>668</v>
      </c>
      <c r="BF101" s="24">
        <v>742</v>
      </c>
      <c r="BG101" s="23">
        <v>260</v>
      </c>
      <c r="BH101" s="24">
        <v>1114</v>
      </c>
      <c r="BI101" s="23">
        <v>221</v>
      </c>
      <c r="BJ101" s="24">
        <v>1096</v>
      </c>
      <c r="BK101" s="23">
        <v>222</v>
      </c>
      <c r="BL101" s="24">
        <v>18</v>
      </c>
      <c r="BM101" s="20">
        <v>25</v>
      </c>
      <c r="BN101" s="19">
        <v>28737</v>
      </c>
      <c r="BO101" s="23">
        <v>1540</v>
      </c>
      <c r="BP101" s="24">
        <v>5931</v>
      </c>
      <c r="BQ101" s="23">
        <v>630</v>
      </c>
      <c r="BR101" s="24">
        <v>5727</v>
      </c>
      <c r="BS101" s="23">
        <v>598</v>
      </c>
      <c r="BT101" s="26">
        <v>204</v>
      </c>
      <c r="BU101" s="23">
        <v>119</v>
      </c>
      <c r="BV101" s="24">
        <v>19438</v>
      </c>
      <c r="BW101" s="23">
        <v>1092</v>
      </c>
      <c r="BX101" s="24">
        <v>18710</v>
      </c>
      <c r="BY101" s="23">
        <v>1050</v>
      </c>
      <c r="BZ101" s="24">
        <v>728</v>
      </c>
      <c r="CA101" s="23">
        <v>201</v>
      </c>
      <c r="CB101" s="24">
        <v>3368</v>
      </c>
      <c r="CC101" s="23">
        <v>319</v>
      </c>
      <c r="CD101" s="24">
        <v>3368</v>
      </c>
      <c r="CE101" s="23">
        <v>319</v>
      </c>
      <c r="CF101" s="24">
        <v>0</v>
      </c>
      <c r="CG101" s="20">
        <v>25</v>
      </c>
    </row>
    <row r="102" spans="1:85" x14ac:dyDescent="0.3">
      <c r="A102" t="s">
        <v>203</v>
      </c>
      <c r="B102">
        <v>20774</v>
      </c>
      <c r="C102" t="s">
        <v>204</v>
      </c>
      <c r="D102" s="19">
        <v>45752</v>
      </c>
      <c r="E102" s="20">
        <v>1452</v>
      </c>
      <c r="F102" s="19">
        <v>3553</v>
      </c>
      <c r="G102" s="23">
        <v>1037</v>
      </c>
      <c r="H102" s="24">
        <v>987</v>
      </c>
      <c r="I102" s="23">
        <v>457</v>
      </c>
      <c r="J102" s="24">
        <v>887</v>
      </c>
      <c r="K102" s="23">
        <v>439</v>
      </c>
      <c r="L102" s="24">
        <v>100</v>
      </c>
      <c r="M102" s="23">
        <v>110</v>
      </c>
      <c r="N102" s="24">
        <v>1981</v>
      </c>
      <c r="O102" s="23">
        <v>600</v>
      </c>
      <c r="P102" s="24">
        <v>1547</v>
      </c>
      <c r="Q102" s="23">
        <v>476</v>
      </c>
      <c r="R102" s="24">
        <v>434</v>
      </c>
      <c r="S102" s="23">
        <v>263</v>
      </c>
      <c r="T102" s="24">
        <v>585</v>
      </c>
      <c r="U102" s="23">
        <v>253</v>
      </c>
      <c r="V102" s="24">
        <v>565</v>
      </c>
      <c r="W102" s="23">
        <v>250</v>
      </c>
      <c r="X102" s="24">
        <v>20</v>
      </c>
      <c r="Y102" s="20">
        <v>46</v>
      </c>
      <c r="Z102" s="19">
        <v>2214</v>
      </c>
      <c r="AA102" s="23">
        <v>598</v>
      </c>
      <c r="AB102" s="24">
        <v>716</v>
      </c>
      <c r="AC102" s="23">
        <v>307</v>
      </c>
      <c r="AD102" s="24">
        <v>716</v>
      </c>
      <c r="AE102" s="23">
        <v>307</v>
      </c>
      <c r="AF102" s="24">
        <v>0</v>
      </c>
      <c r="AG102" s="23">
        <v>25</v>
      </c>
      <c r="AH102" s="24">
        <v>1156</v>
      </c>
      <c r="AI102" s="23">
        <v>329</v>
      </c>
      <c r="AJ102" s="24">
        <v>989</v>
      </c>
      <c r="AK102" s="23">
        <v>281</v>
      </c>
      <c r="AL102" s="24">
        <v>167</v>
      </c>
      <c r="AM102" s="23">
        <v>124</v>
      </c>
      <c r="AN102" s="24">
        <v>342</v>
      </c>
      <c r="AO102" s="23">
        <v>116</v>
      </c>
      <c r="AP102" s="24">
        <v>342</v>
      </c>
      <c r="AQ102" s="23">
        <v>116</v>
      </c>
      <c r="AR102" s="24">
        <v>0</v>
      </c>
      <c r="AS102" s="20">
        <v>25</v>
      </c>
      <c r="AT102" s="19">
        <v>10473</v>
      </c>
      <c r="AU102" s="23">
        <v>1140</v>
      </c>
      <c r="AV102" s="24">
        <v>2915</v>
      </c>
      <c r="AW102" s="23">
        <v>471</v>
      </c>
      <c r="AX102" s="24">
        <v>2762</v>
      </c>
      <c r="AY102" s="23">
        <v>448</v>
      </c>
      <c r="AZ102" s="24">
        <v>153</v>
      </c>
      <c r="BA102" s="23">
        <v>99</v>
      </c>
      <c r="BB102" s="24">
        <v>6057</v>
      </c>
      <c r="BC102" s="23">
        <v>799</v>
      </c>
      <c r="BD102" s="24">
        <v>5219</v>
      </c>
      <c r="BE102" s="23">
        <v>724</v>
      </c>
      <c r="BF102" s="24">
        <v>838</v>
      </c>
      <c r="BG102" s="23">
        <v>299</v>
      </c>
      <c r="BH102" s="24">
        <v>1501</v>
      </c>
      <c r="BI102" s="23">
        <v>270</v>
      </c>
      <c r="BJ102" s="24">
        <v>1477</v>
      </c>
      <c r="BK102" s="23">
        <v>266</v>
      </c>
      <c r="BL102" s="24">
        <v>24</v>
      </c>
      <c r="BM102" s="20">
        <v>36</v>
      </c>
      <c r="BN102" s="19">
        <v>29512</v>
      </c>
      <c r="BO102" s="23">
        <v>1438</v>
      </c>
      <c r="BP102" s="24">
        <v>4914</v>
      </c>
      <c r="BQ102" s="23">
        <v>599</v>
      </c>
      <c r="BR102" s="24">
        <v>4720</v>
      </c>
      <c r="BS102" s="23">
        <v>581</v>
      </c>
      <c r="BT102" s="26">
        <v>194</v>
      </c>
      <c r="BU102" s="23">
        <v>115</v>
      </c>
      <c r="BV102" s="24">
        <v>20541</v>
      </c>
      <c r="BW102" s="23">
        <v>1028</v>
      </c>
      <c r="BX102" s="24">
        <v>19585</v>
      </c>
      <c r="BY102" s="23">
        <v>989</v>
      </c>
      <c r="BZ102" s="24">
        <v>956</v>
      </c>
      <c r="CA102" s="23">
        <v>256</v>
      </c>
      <c r="CB102" s="24">
        <v>4057</v>
      </c>
      <c r="CC102" s="23">
        <v>383</v>
      </c>
      <c r="CD102" s="24">
        <v>4029</v>
      </c>
      <c r="CE102" s="23">
        <v>384</v>
      </c>
      <c r="CF102" s="24">
        <v>28</v>
      </c>
      <c r="CG102" s="20">
        <v>31</v>
      </c>
    </row>
    <row r="103" spans="1:85" x14ac:dyDescent="0.3">
      <c r="A103" t="s">
        <v>205</v>
      </c>
      <c r="B103">
        <v>20776</v>
      </c>
      <c r="C103" t="s">
        <v>206</v>
      </c>
      <c r="D103" s="19">
        <v>3238</v>
      </c>
      <c r="E103" s="20">
        <v>606</v>
      </c>
      <c r="F103" s="19">
        <v>468</v>
      </c>
      <c r="G103" s="23">
        <v>311</v>
      </c>
      <c r="H103" s="24">
        <v>232</v>
      </c>
      <c r="I103" s="23">
        <v>201</v>
      </c>
      <c r="J103" s="24">
        <v>232</v>
      </c>
      <c r="K103" s="23">
        <v>201</v>
      </c>
      <c r="L103" s="24">
        <v>0</v>
      </c>
      <c r="M103" s="23">
        <v>24</v>
      </c>
      <c r="N103" s="24">
        <v>236</v>
      </c>
      <c r="O103" s="23">
        <v>166</v>
      </c>
      <c r="P103" s="24">
        <v>171</v>
      </c>
      <c r="Q103" s="23">
        <v>141</v>
      </c>
      <c r="R103" s="24">
        <v>65</v>
      </c>
      <c r="S103" s="23">
        <v>86</v>
      </c>
      <c r="T103" s="24">
        <v>0</v>
      </c>
      <c r="U103" s="23">
        <v>24</v>
      </c>
      <c r="V103" s="24">
        <v>0</v>
      </c>
      <c r="W103" s="23">
        <v>24</v>
      </c>
      <c r="X103" s="24">
        <v>0</v>
      </c>
      <c r="Y103" s="20">
        <v>24</v>
      </c>
      <c r="Z103" s="19">
        <v>102</v>
      </c>
      <c r="AA103" s="23">
        <v>76</v>
      </c>
      <c r="AB103" s="24">
        <v>0</v>
      </c>
      <c r="AC103" s="23">
        <v>12</v>
      </c>
      <c r="AD103" s="24">
        <v>0</v>
      </c>
      <c r="AE103" s="23">
        <v>12</v>
      </c>
      <c r="AF103" s="24">
        <v>0</v>
      </c>
      <c r="AG103" s="23">
        <v>12</v>
      </c>
      <c r="AH103" s="24">
        <v>74</v>
      </c>
      <c r="AI103" s="23">
        <v>62</v>
      </c>
      <c r="AJ103" s="24">
        <v>61</v>
      </c>
      <c r="AK103" s="23">
        <v>58</v>
      </c>
      <c r="AL103" s="24">
        <v>13</v>
      </c>
      <c r="AM103" s="23">
        <v>21</v>
      </c>
      <c r="AN103" s="24">
        <v>28</v>
      </c>
      <c r="AO103" s="23">
        <v>31</v>
      </c>
      <c r="AP103" s="24">
        <v>28</v>
      </c>
      <c r="AQ103" s="23">
        <v>31</v>
      </c>
      <c r="AR103" s="24">
        <v>0</v>
      </c>
      <c r="AS103" s="20">
        <v>12</v>
      </c>
      <c r="AT103" s="19">
        <v>1039</v>
      </c>
      <c r="AU103" s="23">
        <v>540</v>
      </c>
      <c r="AV103" s="24">
        <v>353</v>
      </c>
      <c r="AW103" s="23">
        <v>224</v>
      </c>
      <c r="AX103" s="24">
        <v>353</v>
      </c>
      <c r="AY103" s="23">
        <v>224</v>
      </c>
      <c r="AZ103" s="24">
        <v>0</v>
      </c>
      <c r="BA103" s="23">
        <v>12</v>
      </c>
      <c r="BB103" s="24">
        <v>553</v>
      </c>
      <c r="BC103" s="23">
        <v>376</v>
      </c>
      <c r="BD103" s="24">
        <v>537</v>
      </c>
      <c r="BE103" s="23">
        <v>379</v>
      </c>
      <c r="BF103" s="24">
        <v>16</v>
      </c>
      <c r="BG103" s="23">
        <v>26</v>
      </c>
      <c r="BH103" s="24">
        <v>133</v>
      </c>
      <c r="BI103" s="23">
        <v>86</v>
      </c>
      <c r="BJ103" s="24">
        <v>133</v>
      </c>
      <c r="BK103" s="23">
        <v>86</v>
      </c>
      <c r="BL103" s="24">
        <v>0</v>
      </c>
      <c r="BM103" s="20">
        <v>12</v>
      </c>
      <c r="BN103" s="19">
        <v>1629</v>
      </c>
      <c r="BO103" s="23">
        <v>304</v>
      </c>
      <c r="BP103" s="24">
        <v>211</v>
      </c>
      <c r="BQ103" s="23">
        <v>124</v>
      </c>
      <c r="BR103" s="24">
        <v>211</v>
      </c>
      <c r="BS103" s="23">
        <v>124</v>
      </c>
      <c r="BT103" s="26">
        <v>0</v>
      </c>
      <c r="BU103" s="23">
        <v>12</v>
      </c>
      <c r="BV103" s="24">
        <v>1021</v>
      </c>
      <c r="BW103" s="23">
        <v>228</v>
      </c>
      <c r="BX103" s="24">
        <v>1021</v>
      </c>
      <c r="BY103" s="23">
        <v>228</v>
      </c>
      <c r="BZ103" s="24">
        <v>0</v>
      </c>
      <c r="CA103" s="23">
        <v>12</v>
      </c>
      <c r="CB103" s="24">
        <v>397</v>
      </c>
      <c r="CC103" s="23">
        <v>150</v>
      </c>
      <c r="CD103" s="24">
        <v>397</v>
      </c>
      <c r="CE103" s="23">
        <v>150</v>
      </c>
      <c r="CF103" s="24">
        <v>0</v>
      </c>
      <c r="CG103" s="20">
        <v>12</v>
      </c>
    </row>
    <row r="104" spans="1:85" x14ac:dyDescent="0.3">
      <c r="A104" t="s">
        <v>207</v>
      </c>
      <c r="B104">
        <v>20777</v>
      </c>
      <c r="C104" t="s">
        <v>208</v>
      </c>
      <c r="D104" s="19">
        <v>3453</v>
      </c>
      <c r="E104" s="20">
        <v>423</v>
      </c>
      <c r="F104" s="19">
        <v>111</v>
      </c>
      <c r="G104" s="23">
        <v>148</v>
      </c>
      <c r="H104" s="24">
        <v>32</v>
      </c>
      <c r="I104" s="23">
        <v>63</v>
      </c>
      <c r="J104" s="24">
        <v>32</v>
      </c>
      <c r="K104" s="23">
        <v>63</v>
      </c>
      <c r="L104" s="24">
        <v>0</v>
      </c>
      <c r="M104" s="23">
        <v>24</v>
      </c>
      <c r="N104" s="24">
        <v>30</v>
      </c>
      <c r="O104" s="23">
        <v>61</v>
      </c>
      <c r="P104" s="24">
        <v>30</v>
      </c>
      <c r="Q104" s="23">
        <v>61</v>
      </c>
      <c r="R104" s="24">
        <v>0</v>
      </c>
      <c r="S104" s="23">
        <v>24</v>
      </c>
      <c r="T104" s="24">
        <v>49</v>
      </c>
      <c r="U104" s="23">
        <v>69</v>
      </c>
      <c r="V104" s="24">
        <v>49</v>
      </c>
      <c r="W104" s="23">
        <v>69</v>
      </c>
      <c r="X104" s="24">
        <v>0</v>
      </c>
      <c r="Y104" s="20">
        <v>24</v>
      </c>
      <c r="Z104" s="19">
        <v>46</v>
      </c>
      <c r="AA104" s="23">
        <v>74</v>
      </c>
      <c r="AB104" s="24">
        <v>22</v>
      </c>
      <c r="AC104" s="23">
        <v>36</v>
      </c>
      <c r="AD104" s="24">
        <v>22</v>
      </c>
      <c r="AE104" s="23">
        <v>36</v>
      </c>
      <c r="AF104" s="24">
        <v>0</v>
      </c>
      <c r="AG104" s="23">
        <v>12</v>
      </c>
      <c r="AH104" s="24">
        <v>24</v>
      </c>
      <c r="AI104" s="23">
        <v>38</v>
      </c>
      <c r="AJ104" s="24">
        <v>24</v>
      </c>
      <c r="AK104" s="23">
        <v>38</v>
      </c>
      <c r="AL104" s="24">
        <v>0</v>
      </c>
      <c r="AM104" s="23">
        <v>12</v>
      </c>
      <c r="AN104" s="24">
        <v>0</v>
      </c>
      <c r="AO104" s="23">
        <v>12</v>
      </c>
      <c r="AP104" s="24">
        <v>0</v>
      </c>
      <c r="AQ104" s="23">
        <v>12</v>
      </c>
      <c r="AR104" s="24">
        <v>0</v>
      </c>
      <c r="AS104" s="20">
        <v>12</v>
      </c>
      <c r="AT104" s="19">
        <v>257</v>
      </c>
      <c r="AU104" s="23">
        <v>141</v>
      </c>
      <c r="AV104" s="24">
        <v>37</v>
      </c>
      <c r="AW104" s="23">
        <v>43</v>
      </c>
      <c r="AX104" s="24">
        <v>37</v>
      </c>
      <c r="AY104" s="23">
        <v>43</v>
      </c>
      <c r="AZ104" s="24">
        <v>0</v>
      </c>
      <c r="BA104" s="23">
        <v>12</v>
      </c>
      <c r="BB104" s="24">
        <v>107</v>
      </c>
      <c r="BC104" s="23">
        <v>75</v>
      </c>
      <c r="BD104" s="24">
        <v>107</v>
      </c>
      <c r="BE104" s="23">
        <v>75</v>
      </c>
      <c r="BF104" s="24">
        <v>0</v>
      </c>
      <c r="BG104" s="23">
        <v>12</v>
      </c>
      <c r="BH104" s="24">
        <v>113</v>
      </c>
      <c r="BI104" s="23">
        <v>72</v>
      </c>
      <c r="BJ104" s="24">
        <v>113</v>
      </c>
      <c r="BK104" s="23">
        <v>72</v>
      </c>
      <c r="BL104" s="24">
        <v>0</v>
      </c>
      <c r="BM104" s="20">
        <v>12</v>
      </c>
      <c r="BN104" s="19">
        <v>3039</v>
      </c>
      <c r="BO104" s="23">
        <v>428</v>
      </c>
      <c r="BP104" s="24">
        <v>689</v>
      </c>
      <c r="BQ104" s="23">
        <v>163</v>
      </c>
      <c r="BR104" s="24">
        <v>672</v>
      </c>
      <c r="BS104" s="23">
        <v>163</v>
      </c>
      <c r="BT104" s="26">
        <v>17</v>
      </c>
      <c r="BU104" s="23">
        <v>28</v>
      </c>
      <c r="BV104" s="24">
        <v>1834</v>
      </c>
      <c r="BW104" s="23">
        <v>289</v>
      </c>
      <c r="BX104" s="24">
        <v>1788</v>
      </c>
      <c r="BY104" s="23">
        <v>287</v>
      </c>
      <c r="BZ104" s="24">
        <v>46</v>
      </c>
      <c r="CA104" s="23">
        <v>30</v>
      </c>
      <c r="CB104" s="24">
        <v>516</v>
      </c>
      <c r="CC104" s="23">
        <v>140</v>
      </c>
      <c r="CD104" s="24">
        <v>475</v>
      </c>
      <c r="CE104" s="23">
        <v>130</v>
      </c>
      <c r="CF104" s="24">
        <v>41</v>
      </c>
      <c r="CG104" s="20">
        <v>45</v>
      </c>
    </row>
    <row r="105" spans="1:85" x14ac:dyDescent="0.3">
      <c r="A105" t="s">
        <v>209</v>
      </c>
      <c r="B105">
        <v>20778</v>
      </c>
      <c r="C105" t="s">
        <v>210</v>
      </c>
      <c r="D105" s="19">
        <v>1810</v>
      </c>
      <c r="E105" s="20">
        <v>303</v>
      </c>
      <c r="F105" s="19">
        <v>296</v>
      </c>
      <c r="G105" s="23">
        <v>288</v>
      </c>
      <c r="H105" s="24">
        <v>80</v>
      </c>
      <c r="I105" s="23">
        <v>122</v>
      </c>
      <c r="J105" s="24">
        <v>80</v>
      </c>
      <c r="K105" s="23">
        <v>122</v>
      </c>
      <c r="L105" s="24">
        <v>0</v>
      </c>
      <c r="M105" s="23">
        <v>24</v>
      </c>
      <c r="N105" s="24">
        <v>168</v>
      </c>
      <c r="O105" s="23">
        <v>162</v>
      </c>
      <c r="P105" s="24">
        <v>168</v>
      </c>
      <c r="Q105" s="23">
        <v>162</v>
      </c>
      <c r="R105" s="24">
        <v>0</v>
      </c>
      <c r="S105" s="23">
        <v>24</v>
      </c>
      <c r="T105" s="24">
        <v>48</v>
      </c>
      <c r="U105" s="23">
        <v>64</v>
      </c>
      <c r="V105" s="24">
        <v>48</v>
      </c>
      <c r="W105" s="23">
        <v>64</v>
      </c>
      <c r="X105" s="24">
        <v>0</v>
      </c>
      <c r="Y105" s="20">
        <v>24</v>
      </c>
      <c r="Z105" s="19">
        <v>61</v>
      </c>
      <c r="AA105" s="23">
        <v>76</v>
      </c>
      <c r="AB105" s="24">
        <v>0</v>
      </c>
      <c r="AC105" s="23">
        <v>12</v>
      </c>
      <c r="AD105" s="24">
        <v>0</v>
      </c>
      <c r="AE105" s="23">
        <v>12</v>
      </c>
      <c r="AF105" s="24">
        <v>0</v>
      </c>
      <c r="AG105" s="23">
        <v>12</v>
      </c>
      <c r="AH105" s="24">
        <v>23</v>
      </c>
      <c r="AI105" s="23">
        <v>39</v>
      </c>
      <c r="AJ105" s="24">
        <v>23</v>
      </c>
      <c r="AK105" s="23">
        <v>39</v>
      </c>
      <c r="AL105" s="24">
        <v>0</v>
      </c>
      <c r="AM105" s="23">
        <v>12</v>
      </c>
      <c r="AN105" s="24">
        <v>38</v>
      </c>
      <c r="AO105" s="23">
        <v>58</v>
      </c>
      <c r="AP105" s="24">
        <v>38</v>
      </c>
      <c r="AQ105" s="23">
        <v>58</v>
      </c>
      <c r="AR105" s="24">
        <v>0</v>
      </c>
      <c r="AS105" s="20">
        <v>12</v>
      </c>
      <c r="AT105" s="19">
        <v>372</v>
      </c>
      <c r="AU105" s="23">
        <v>202</v>
      </c>
      <c r="AV105" s="24">
        <v>36</v>
      </c>
      <c r="AW105" s="23">
        <v>42</v>
      </c>
      <c r="AX105" s="24">
        <v>36</v>
      </c>
      <c r="AY105" s="23">
        <v>42</v>
      </c>
      <c r="AZ105" s="24">
        <v>0</v>
      </c>
      <c r="BA105" s="23">
        <v>12</v>
      </c>
      <c r="BB105" s="24">
        <v>186</v>
      </c>
      <c r="BC105" s="23">
        <v>117</v>
      </c>
      <c r="BD105" s="24">
        <v>157</v>
      </c>
      <c r="BE105" s="23">
        <v>110</v>
      </c>
      <c r="BF105" s="24">
        <v>29</v>
      </c>
      <c r="BG105" s="23">
        <v>34</v>
      </c>
      <c r="BH105" s="24">
        <v>150</v>
      </c>
      <c r="BI105" s="23">
        <v>128</v>
      </c>
      <c r="BJ105" s="24">
        <v>150</v>
      </c>
      <c r="BK105" s="23">
        <v>128</v>
      </c>
      <c r="BL105" s="24">
        <v>0</v>
      </c>
      <c r="BM105" s="20">
        <v>12</v>
      </c>
      <c r="BN105" s="19">
        <v>1081</v>
      </c>
      <c r="BO105" s="23">
        <v>283</v>
      </c>
      <c r="BP105" s="24">
        <v>144</v>
      </c>
      <c r="BQ105" s="23">
        <v>98</v>
      </c>
      <c r="BR105" s="24">
        <v>144</v>
      </c>
      <c r="BS105" s="23">
        <v>98</v>
      </c>
      <c r="BT105" s="26">
        <v>0</v>
      </c>
      <c r="BU105" s="23">
        <v>12</v>
      </c>
      <c r="BV105" s="24">
        <v>789</v>
      </c>
      <c r="BW105" s="23">
        <v>227</v>
      </c>
      <c r="BX105" s="24">
        <v>772</v>
      </c>
      <c r="BY105" s="23">
        <v>231</v>
      </c>
      <c r="BZ105" s="24">
        <v>17</v>
      </c>
      <c r="CA105" s="23">
        <v>28</v>
      </c>
      <c r="CB105" s="24">
        <v>148</v>
      </c>
      <c r="CC105" s="23">
        <v>76</v>
      </c>
      <c r="CD105" s="24">
        <v>148</v>
      </c>
      <c r="CE105" s="23">
        <v>76</v>
      </c>
      <c r="CF105" s="24">
        <v>0</v>
      </c>
      <c r="CG105" s="20">
        <v>12</v>
      </c>
    </row>
    <row r="106" spans="1:85" x14ac:dyDescent="0.3">
      <c r="A106" t="s">
        <v>211</v>
      </c>
      <c r="B106">
        <v>20779</v>
      </c>
      <c r="C106" t="s">
        <v>212</v>
      </c>
      <c r="D106" s="19">
        <v>1112</v>
      </c>
      <c r="E106" s="20">
        <v>210</v>
      </c>
      <c r="F106" s="19">
        <v>157</v>
      </c>
      <c r="G106" s="23">
        <v>161</v>
      </c>
      <c r="H106" s="24">
        <v>67</v>
      </c>
      <c r="I106" s="23">
        <v>97</v>
      </c>
      <c r="J106" s="24">
        <v>67</v>
      </c>
      <c r="K106" s="23">
        <v>97</v>
      </c>
      <c r="L106" s="24">
        <v>0</v>
      </c>
      <c r="M106" s="23">
        <v>24</v>
      </c>
      <c r="N106" s="24">
        <v>70</v>
      </c>
      <c r="O106" s="23">
        <v>78</v>
      </c>
      <c r="P106" s="24">
        <v>49</v>
      </c>
      <c r="Q106" s="23">
        <v>67</v>
      </c>
      <c r="R106" s="24">
        <v>21</v>
      </c>
      <c r="S106" s="23">
        <v>31</v>
      </c>
      <c r="T106" s="24">
        <v>20</v>
      </c>
      <c r="U106" s="23">
        <v>35</v>
      </c>
      <c r="V106" s="24">
        <v>20</v>
      </c>
      <c r="W106" s="23">
        <v>35</v>
      </c>
      <c r="X106" s="24">
        <v>0</v>
      </c>
      <c r="Y106" s="20">
        <v>24</v>
      </c>
      <c r="Z106" s="19">
        <v>14</v>
      </c>
      <c r="AA106" s="23">
        <v>22</v>
      </c>
      <c r="AB106" s="24">
        <v>0</v>
      </c>
      <c r="AC106" s="23">
        <v>12</v>
      </c>
      <c r="AD106" s="24">
        <v>0</v>
      </c>
      <c r="AE106" s="23">
        <v>12</v>
      </c>
      <c r="AF106" s="24">
        <v>0</v>
      </c>
      <c r="AG106" s="23">
        <v>12</v>
      </c>
      <c r="AH106" s="24">
        <v>14</v>
      </c>
      <c r="AI106" s="23">
        <v>22</v>
      </c>
      <c r="AJ106" s="24">
        <v>14</v>
      </c>
      <c r="AK106" s="23">
        <v>22</v>
      </c>
      <c r="AL106" s="24">
        <v>0</v>
      </c>
      <c r="AM106" s="23">
        <v>12</v>
      </c>
      <c r="AN106" s="24">
        <v>0</v>
      </c>
      <c r="AO106" s="23">
        <v>12</v>
      </c>
      <c r="AP106" s="24">
        <v>0</v>
      </c>
      <c r="AQ106" s="23">
        <v>12</v>
      </c>
      <c r="AR106" s="24">
        <v>0</v>
      </c>
      <c r="AS106" s="20">
        <v>12</v>
      </c>
      <c r="AT106" s="19">
        <v>104</v>
      </c>
      <c r="AU106" s="23">
        <v>52</v>
      </c>
      <c r="AV106" s="24">
        <v>7</v>
      </c>
      <c r="AW106" s="23">
        <v>11</v>
      </c>
      <c r="AX106" s="24">
        <v>7</v>
      </c>
      <c r="AY106" s="23">
        <v>11</v>
      </c>
      <c r="AZ106" s="24">
        <v>0</v>
      </c>
      <c r="BA106" s="23">
        <v>12</v>
      </c>
      <c r="BB106" s="24">
        <v>37</v>
      </c>
      <c r="BC106" s="23">
        <v>29</v>
      </c>
      <c r="BD106" s="24">
        <v>37</v>
      </c>
      <c r="BE106" s="23">
        <v>29</v>
      </c>
      <c r="BF106" s="24">
        <v>0</v>
      </c>
      <c r="BG106" s="23">
        <v>12</v>
      </c>
      <c r="BH106" s="24">
        <v>60</v>
      </c>
      <c r="BI106" s="23">
        <v>34</v>
      </c>
      <c r="BJ106" s="24">
        <v>60</v>
      </c>
      <c r="BK106" s="23">
        <v>34</v>
      </c>
      <c r="BL106" s="24">
        <v>0</v>
      </c>
      <c r="BM106" s="20">
        <v>12</v>
      </c>
      <c r="BN106" s="19">
        <v>837</v>
      </c>
      <c r="BO106" s="23">
        <v>179</v>
      </c>
      <c r="BP106" s="24">
        <v>147</v>
      </c>
      <c r="BQ106" s="23">
        <v>76</v>
      </c>
      <c r="BR106" s="24">
        <v>133</v>
      </c>
      <c r="BS106" s="23">
        <v>69</v>
      </c>
      <c r="BT106" s="26">
        <v>14</v>
      </c>
      <c r="BU106" s="23">
        <v>21</v>
      </c>
      <c r="BV106" s="24">
        <v>431</v>
      </c>
      <c r="BW106" s="23">
        <v>120</v>
      </c>
      <c r="BX106" s="24">
        <v>431</v>
      </c>
      <c r="BY106" s="23">
        <v>120</v>
      </c>
      <c r="BZ106" s="24">
        <v>0</v>
      </c>
      <c r="CA106" s="23">
        <v>12</v>
      </c>
      <c r="CB106" s="24">
        <v>259</v>
      </c>
      <c r="CC106" s="23">
        <v>81</v>
      </c>
      <c r="CD106" s="24">
        <v>259</v>
      </c>
      <c r="CE106" s="23">
        <v>81</v>
      </c>
      <c r="CF106" s="24">
        <v>0</v>
      </c>
      <c r="CG106" s="20">
        <v>12</v>
      </c>
    </row>
    <row r="107" spans="1:85" x14ac:dyDescent="0.3">
      <c r="A107" t="s">
        <v>213</v>
      </c>
      <c r="B107">
        <v>20781</v>
      </c>
      <c r="C107" t="s">
        <v>214</v>
      </c>
      <c r="D107" s="19">
        <v>11333</v>
      </c>
      <c r="E107" s="20">
        <v>707</v>
      </c>
      <c r="F107" s="19">
        <v>1645</v>
      </c>
      <c r="G107" s="23">
        <v>512</v>
      </c>
      <c r="H107" s="24">
        <v>420</v>
      </c>
      <c r="I107" s="23">
        <v>200</v>
      </c>
      <c r="J107" s="24">
        <v>392</v>
      </c>
      <c r="K107" s="23">
        <v>192</v>
      </c>
      <c r="L107" s="24">
        <v>28</v>
      </c>
      <c r="M107" s="23">
        <v>44</v>
      </c>
      <c r="N107" s="24">
        <v>1033</v>
      </c>
      <c r="O107" s="23">
        <v>301</v>
      </c>
      <c r="P107" s="24">
        <v>680</v>
      </c>
      <c r="Q107" s="23">
        <v>228</v>
      </c>
      <c r="R107" s="24">
        <v>353</v>
      </c>
      <c r="S107" s="23">
        <v>146</v>
      </c>
      <c r="T107" s="24">
        <v>192</v>
      </c>
      <c r="U107" s="23">
        <v>162</v>
      </c>
      <c r="V107" s="24">
        <v>192</v>
      </c>
      <c r="W107" s="23">
        <v>162</v>
      </c>
      <c r="X107" s="24">
        <v>0</v>
      </c>
      <c r="Y107" s="20">
        <v>38</v>
      </c>
      <c r="Z107" s="19">
        <v>1630</v>
      </c>
      <c r="AA107" s="23">
        <v>423</v>
      </c>
      <c r="AB107" s="24">
        <v>781</v>
      </c>
      <c r="AC107" s="23">
        <v>237</v>
      </c>
      <c r="AD107" s="24">
        <v>676</v>
      </c>
      <c r="AE107" s="23">
        <v>201</v>
      </c>
      <c r="AF107" s="24">
        <v>105</v>
      </c>
      <c r="AG107" s="23">
        <v>92</v>
      </c>
      <c r="AH107" s="24">
        <v>728</v>
      </c>
      <c r="AI107" s="23">
        <v>197</v>
      </c>
      <c r="AJ107" s="24">
        <v>336</v>
      </c>
      <c r="AK107" s="23">
        <v>109</v>
      </c>
      <c r="AL107" s="24">
        <v>392</v>
      </c>
      <c r="AM107" s="23">
        <v>133</v>
      </c>
      <c r="AN107" s="24">
        <v>121</v>
      </c>
      <c r="AO107" s="23">
        <v>59</v>
      </c>
      <c r="AP107" s="24">
        <v>121</v>
      </c>
      <c r="AQ107" s="23">
        <v>59</v>
      </c>
      <c r="AR107" s="24">
        <v>0</v>
      </c>
      <c r="AS107" s="20">
        <v>19</v>
      </c>
      <c r="AT107" s="19">
        <v>4255</v>
      </c>
      <c r="AU107" s="23">
        <v>590</v>
      </c>
      <c r="AV107" s="24">
        <v>1078</v>
      </c>
      <c r="AW107" s="23">
        <v>222</v>
      </c>
      <c r="AX107" s="24">
        <v>1009</v>
      </c>
      <c r="AY107" s="23">
        <v>214</v>
      </c>
      <c r="AZ107" s="24">
        <v>69</v>
      </c>
      <c r="BA107" s="23">
        <v>42</v>
      </c>
      <c r="BB107" s="24">
        <v>2801</v>
      </c>
      <c r="BC107" s="23">
        <v>421</v>
      </c>
      <c r="BD107" s="24">
        <v>1765</v>
      </c>
      <c r="BE107" s="23">
        <v>284</v>
      </c>
      <c r="BF107" s="24">
        <v>1036</v>
      </c>
      <c r="BG107" s="23">
        <v>320</v>
      </c>
      <c r="BH107" s="24">
        <v>376</v>
      </c>
      <c r="BI107" s="23">
        <v>114</v>
      </c>
      <c r="BJ107" s="24">
        <v>352</v>
      </c>
      <c r="BK107" s="23">
        <v>101</v>
      </c>
      <c r="BL107" s="24">
        <v>24</v>
      </c>
      <c r="BM107" s="20">
        <v>37</v>
      </c>
      <c r="BN107" s="19">
        <v>3803</v>
      </c>
      <c r="BO107" s="23">
        <v>434</v>
      </c>
      <c r="BP107" s="24">
        <v>644</v>
      </c>
      <c r="BQ107" s="23">
        <v>139</v>
      </c>
      <c r="BR107" s="24">
        <v>636</v>
      </c>
      <c r="BS107" s="23">
        <v>135</v>
      </c>
      <c r="BT107" s="26">
        <v>8</v>
      </c>
      <c r="BU107" s="23">
        <v>12</v>
      </c>
      <c r="BV107" s="24">
        <v>2702</v>
      </c>
      <c r="BW107" s="23">
        <v>330</v>
      </c>
      <c r="BX107" s="24">
        <v>2566</v>
      </c>
      <c r="BY107" s="23">
        <v>333</v>
      </c>
      <c r="BZ107" s="24">
        <v>136</v>
      </c>
      <c r="CA107" s="23">
        <v>67</v>
      </c>
      <c r="CB107" s="24">
        <v>457</v>
      </c>
      <c r="CC107" s="23">
        <v>133</v>
      </c>
      <c r="CD107" s="24">
        <v>457</v>
      </c>
      <c r="CE107" s="23">
        <v>133</v>
      </c>
      <c r="CF107" s="24">
        <v>0</v>
      </c>
      <c r="CG107" s="20">
        <v>19</v>
      </c>
    </row>
    <row r="108" spans="1:85" x14ac:dyDescent="0.3">
      <c r="A108" t="s">
        <v>215</v>
      </c>
      <c r="B108">
        <v>20782</v>
      </c>
      <c r="C108" t="s">
        <v>216</v>
      </c>
      <c r="D108" s="19">
        <v>32322</v>
      </c>
      <c r="E108" s="20">
        <v>1193</v>
      </c>
      <c r="F108" s="19">
        <v>5880</v>
      </c>
      <c r="G108" s="23">
        <v>1142</v>
      </c>
      <c r="H108" s="24">
        <v>1980</v>
      </c>
      <c r="I108" s="23">
        <v>637</v>
      </c>
      <c r="J108" s="24">
        <v>1916</v>
      </c>
      <c r="K108" s="23">
        <v>629</v>
      </c>
      <c r="L108" s="24">
        <v>64</v>
      </c>
      <c r="M108" s="23">
        <v>72</v>
      </c>
      <c r="N108" s="24">
        <v>3414</v>
      </c>
      <c r="O108" s="23">
        <v>702</v>
      </c>
      <c r="P108" s="24">
        <v>1849</v>
      </c>
      <c r="Q108" s="23">
        <v>473</v>
      </c>
      <c r="R108" s="24">
        <v>1565</v>
      </c>
      <c r="S108" s="23">
        <v>475</v>
      </c>
      <c r="T108" s="24">
        <v>486</v>
      </c>
      <c r="U108" s="23">
        <v>210</v>
      </c>
      <c r="V108" s="24">
        <v>477</v>
      </c>
      <c r="W108" s="23">
        <v>209</v>
      </c>
      <c r="X108" s="24">
        <v>9</v>
      </c>
      <c r="Y108" s="20">
        <v>38</v>
      </c>
      <c r="Z108" s="19">
        <v>3940</v>
      </c>
      <c r="AA108" s="23">
        <v>855</v>
      </c>
      <c r="AB108" s="24">
        <v>1337</v>
      </c>
      <c r="AC108" s="23">
        <v>407</v>
      </c>
      <c r="AD108" s="24">
        <v>1169</v>
      </c>
      <c r="AE108" s="23">
        <v>353</v>
      </c>
      <c r="AF108" s="24">
        <v>168</v>
      </c>
      <c r="AG108" s="23">
        <v>166</v>
      </c>
      <c r="AH108" s="24">
        <v>2306</v>
      </c>
      <c r="AI108" s="23">
        <v>534</v>
      </c>
      <c r="AJ108" s="24">
        <v>1512</v>
      </c>
      <c r="AK108" s="23">
        <v>448</v>
      </c>
      <c r="AL108" s="24">
        <v>794</v>
      </c>
      <c r="AM108" s="23">
        <v>238</v>
      </c>
      <c r="AN108" s="24">
        <v>297</v>
      </c>
      <c r="AO108" s="23">
        <v>117</v>
      </c>
      <c r="AP108" s="24">
        <v>297</v>
      </c>
      <c r="AQ108" s="23">
        <v>117</v>
      </c>
      <c r="AR108" s="24">
        <v>0</v>
      </c>
      <c r="AS108" s="20">
        <v>25</v>
      </c>
      <c r="AT108" s="19">
        <v>11828</v>
      </c>
      <c r="AU108" s="23">
        <v>1192</v>
      </c>
      <c r="AV108" s="24">
        <v>3112</v>
      </c>
      <c r="AW108" s="23">
        <v>481</v>
      </c>
      <c r="AX108" s="24">
        <v>2851</v>
      </c>
      <c r="AY108" s="23">
        <v>426</v>
      </c>
      <c r="AZ108" s="24">
        <v>261</v>
      </c>
      <c r="BA108" s="23">
        <v>194</v>
      </c>
      <c r="BB108" s="24">
        <v>7799</v>
      </c>
      <c r="BC108" s="23">
        <v>844</v>
      </c>
      <c r="BD108" s="24">
        <v>5387</v>
      </c>
      <c r="BE108" s="23">
        <v>670</v>
      </c>
      <c r="BF108" s="24">
        <v>2412</v>
      </c>
      <c r="BG108" s="23">
        <v>484</v>
      </c>
      <c r="BH108" s="24">
        <v>917</v>
      </c>
      <c r="BI108" s="23">
        <v>207</v>
      </c>
      <c r="BJ108" s="24">
        <v>916</v>
      </c>
      <c r="BK108" s="23">
        <v>208</v>
      </c>
      <c r="BL108" s="24">
        <v>1</v>
      </c>
      <c r="BM108" s="20">
        <v>7</v>
      </c>
      <c r="BN108" s="19">
        <v>10674</v>
      </c>
      <c r="BO108" s="23">
        <v>995</v>
      </c>
      <c r="BP108" s="24">
        <v>1393</v>
      </c>
      <c r="BQ108" s="23">
        <v>312</v>
      </c>
      <c r="BR108" s="24">
        <v>1336</v>
      </c>
      <c r="BS108" s="23">
        <v>295</v>
      </c>
      <c r="BT108" s="26">
        <v>57</v>
      </c>
      <c r="BU108" s="23">
        <v>64</v>
      </c>
      <c r="BV108" s="24">
        <v>7759</v>
      </c>
      <c r="BW108" s="23">
        <v>761</v>
      </c>
      <c r="BX108" s="24">
        <v>6948</v>
      </c>
      <c r="BY108" s="23">
        <v>652</v>
      </c>
      <c r="BZ108" s="24">
        <v>811</v>
      </c>
      <c r="CA108" s="23">
        <v>272</v>
      </c>
      <c r="CB108" s="24">
        <v>1522</v>
      </c>
      <c r="CC108" s="23">
        <v>176</v>
      </c>
      <c r="CD108" s="24">
        <v>1522</v>
      </c>
      <c r="CE108" s="23">
        <v>176</v>
      </c>
      <c r="CF108" s="24">
        <v>0</v>
      </c>
      <c r="CG108" s="20">
        <v>25</v>
      </c>
    </row>
    <row r="109" spans="1:85" x14ac:dyDescent="0.3">
      <c r="A109" t="s">
        <v>217</v>
      </c>
      <c r="B109">
        <v>20783</v>
      </c>
      <c r="C109" t="s">
        <v>218</v>
      </c>
      <c r="D109" s="19">
        <v>46708</v>
      </c>
      <c r="E109" s="20">
        <v>1680</v>
      </c>
      <c r="F109" s="19">
        <v>11850</v>
      </c>
      <c r="G109" s="23">
        <v>1773</v>
      </c>
      <c r="H109" s="24">
        <v>4525</v>
      </c>
      <c r="I109" s="23">
        <v>1054</v>
      </c>
      <c r="J109" s="24">
        <v>3917</v>
      </c>
      <c r="K109" s="23">
        <v>964</v>
      </c>
      <c r="L109" s="24">
        <v>608</v>
      </c>
      <c r="M109" s="23">
        <v>352</v>
      </c>
      <c r="N109" s="24">
        <v>6699</v>
      </c>
      <c r="O109" s="23">
        <v>921</v>
      </c>
      <c r="P109" s="24">
        <v>2546</v>
      </c>
      <c r="Q109" s="23">
        <v>526</v>
      </c>
      <c r="R109" s="24">
        <v>4153</v>
      </c>
      <c r="S109" s="23">
        <v>769</v>
      </c>
      <c r="T109" s="24">
        <v>626</v>
      </c>
      <c r="U109" s="23">
        <v>229</v>
      </c>
      <c r="V109" s="24">
        <v>562</v>
      </c>
      <c r="W109" s="23">
        <v>213</v>
      </c>
      <c r="X109" s="24">
        <v>64</v>
      </c>
      <c r="Y109" s="20">
        <v>72</v>
      </c>
      <c r="Z109" s="19">
        <v>7412</v>
      </c>
      <c r="AA109" s="23">
        <v>975</v>
      </c>
      <c r="AB109" s="24">
        <v>2226</v>
      </c>
      <c r="AC109" s="23">
        <v>449</v>
      </c>
      <c r="AD109" s="24">
        <v>2039</v>
      </c>
      <c r="AE109" s="23">
        <v>428</v>
      </c>
      <c r="AF109" s="24">
        <v>187</v>
      </c>
      <c r="AG109" s="23">
        <v>104</v>
      </c>
      <c r="AH109" s="24">
        <v>4801</v>
      </c>
      <c r="AI109" s="23">
        <v>586</v>
      </c>
      <c r="AJ109" s="24">
        <v>1854</v>
      </c>
      <c r="AK109" s="23">
        <v>368</v>
      </c>
      <c r="AL109" s="24">
        <v>2947</v>
      </c>
      <c r="AM109" s="23">
        <v>433</v>
      </c>
      <c r="AN109" s="24">
        <v>385</v>
      </c>
      <c r="AO109" s="23">
        <v>124</v>
      </c>
      <c r="AP109" s="24">
        <v>338</v>
      </c>
      <c r="AQ109" s="23">
        <v>107</v>
      </c>
      <c r="AR109" s="24">
        <v>47</v>
      </c>
      <c r="AS109" s="20">
        <v>56</v>
      </c>
      <c r="AT109" s="19">
        <v>17548</v>
      </c>
      <c r="AU109" s="23">
        <v>1455</v>
      </c>
      <c r="AV109" s="24">
        <v>4038</v>
      </c>
      <c r="AW109" s="23">
        <v>593</v>
      </c>
      <c r="AX109" s="24">
        <v>3803</v>
      </c>
      <c r="AY109" s="23">
        <v>587</v>
      </c>
      <c r="AZ109" s="24">
        <v>235</v>
      </c>
      <c r="BA109" s="23">
        <v>129</v>
      </c>
      <c r="BB109" s="24">
        <v>12565</v>
      </c>
      <c r="BC109" s="23">
        <v>1099</v>
      </c>
      <c r="BD109" s="24">
        <v>6105</v>
      </c>
      <c r="BE109" s="23">
        <v>655</v>
      </c>
      <c r="BF109" s="24">
        <v>6460</v>
      </c>
      <c r="BG109" s="23">
        <v>851</v>
      </c>
      <c r="BH109" s="24">
        <v>945</v>
      </c>
      <c r="BI109" s="23">
        <v>207</v>
      </c>
      <c r="BJ109" s="24">
        <v>876</v>
      </c>
      <c r="BK109" s="23">
        <v>197</v>
      </c>
      <c r="BL109" s="24">
        <v>69</v>
      </c>
      <c r="BM109" s="20">
        <v>52</v>
      </c>
      <c r="BN109" s="19">
        <v>9898</v>
      </c>
      <c r="BO109" s="23">
        <v>1002</v>
      </c>
      <c r="BP109" s="24">
        <v>1302</v>
      </c>
      <c r="BQ109" s="23">
        <v>269</v>
      </c>
      <c r="BR109" s="24">
        <v>1294</v>
      </c>
      <c r="BS109" s="23">
        <v>271</v>
      </c>
      <c r="BT109" s="26">
        <v>8</v>
      </c>
      <c r="BU109" s="23">
        <v>11</v>
      </c>
      <c r="BV109" s="24">
        <v>6895</v>
      </c>
      <c r="BW109" s="23">
        <v>728</v>
      </c>
      <c r="BX109" s="24">
        <v>5324</v>
      </c>
      <c r="BY109" s="23">
        <v>560</v>
      </c>
      <c r="BZ109" s="24">
        <v>1571</v>
      </c>
      <c r="CA109" s="23">
        <v>376</v>
      </c>
      <c r="CB109" s="24">
        <v>1701</v>
      </c>
      <c r="CC109" s="23">
        <v>251</v>
      </c>
      <c r="CD109" s="24">
        <v>1659</v>
      </c>
      <c r="CE109" s="23">
        <v>254</v>
      </c>
      <c r="CF109" s="24">
        <v>42</v>
      </c>
      <c r="CG109" s="20">
        <v>42</v>
      </c>
    </row>
    <row r="110" spans="1:85" x14ac:dyDescent="0.3">
      <c r="A110" t="s">
        <v>219</v>
      </c>
      <c r="B110">
        <v>20784</v>
      </c>
      <c r="C110" t="s">
        <v>220</v>
      </c>
      <c r="D110" s="19">
        <v>30388</v>
      </c>
      <c r="E110" s="20">
        <v>944</v>
      </c>
      <c r="F110" s="19">
        <v>4459</v>
      </c>
      <c r="G110" s="23">
        <v>1269</v>
      </c>
      <c r="H110" s="24">
        <v>1816</v>
      </c>
      <c r="I110" s="23">
        <v>747</v>
      </c>
      <c r="J110" s="24">
        <v>1502</v>
      </c>
      <c r="K110" s="23">
        <v>725</v>
      </c>
      <c r="L110" s="24">
        <v>314</v>
      </c>
      <c r="M110" s="23">
        <v>231</v>
      </c>
      <c r="N110" s="24">
        <v>2420</v>
      </c>
      <c r="O110" s="23">
        <v>643</v>
      </c>
      <c r="P110" s="24">
        <v>1383</v>
      </c>
      <c r="Q110" s="23">
        <v>449</v>
      </c>
      <c r="R110" s="24">
        <v>1037</v>
      </c>
      <c r="S110" s="23">
        <v>361</v>
      </c>
      <c r="T110" s="24">
        <v>223</v>
      </c>
      <c r="U110" s="23">
        <v>106</v>
      </c>
      <c r="V110" s="24">
        <v>212</v>
      </c>
      <c r="W110" s="23">
        <v>103</v>
      </c>
      <c r="X110" s="24">
        <v>11</v>
      </c>
      <c r="Y110" s="20">
        <v>41</v>
      </c>
      <c r="Z110" s="19">
        <v>4416</v>
      </c>
      <c r="AA110" s="23">
        <v>712</v>
      </c>
      <c r="AB110" s="24">
        <v>1610</v>
      </c>
      <c r="AC110" s="23">
        <v>335</v>
      </c>
      <c r="AD110" s="24">
        <v>1521</v>
      </c>
      <c r="AE110" s="23">
        <v>333</v>
      </c>
      <c r="AF110" s="24">
        <v>89</v>
      </c>
      <c r="AG110" s="23">
        <v>66</v>
      </c>
      <c r="AH110" s="24">
        <v>2590</v>
      </c>
      <c r="AI110" s="23">
        <v>470</v>
      </c>
      <c r="AJ110" s="24">
        <v>1750</v>
      </c>
      <c r="AK110" s="23">
        <v>303</v>
      </c>
      <c r="AL110" s="24">
        <v>840</v>
      </c>
      <c r="AM110" s="23">
        <v>322</v>
      </c>
      <c r="AN110" s="24">
        <v>216</v>
      </c>
      <c r="AO110" s="23">
        <v>95</v>
      </c>
      <c r="AP110" s="24">
        <v>209</v>
      </c>
      <c r="AQ110" s="23">
        <v>94</v>
      </c>
      <c r="AR110" s="24">
        <v>7</v>
      </c>
      <c r="AS110" s="20">
        <v>15</v>
      </c>
      <c r="AT110" s="19">
        <v>11385</v>
      </c>
      <c r="AU110" s="23">
        <v>1143</v>
      </c>
      <c r="AV110" s="24">
        <v>3317</v>
      </c>
      <c r="AW110" s="23">
        <v>565</v>
      </c>
      <c r="AX110" s="24">
        <v>3159</v>
      </c>
      <c r="AY110" s="23">
        <v>557</v>
      </c>
      <c r="AZ110" s="24">
        <v>158</v>
      </c>
      <c r="BA110" s="23">
        <v>102</v>
      </c>
      <c r="BB110" s="24">
        <v>7018</v>
      </c>
      <c r="BC110" s="23">
        <v>682</v>
      </c>
      <c r="BD110" s="24">
        <v>5404</v>
      </c>
      <c r="BE110" s="23">
        <v>648</v>
      </c>
      <c r="BF110" s="24">
        <v>1614</v>
      </c>
      <c r="BG110" s="23">
        <v>353</v>
      </c>
      <c r="BH110" s="24">
        <v>1050</v>
      </c>
      <c r="BI110" s="23">
        <v>182</v>
      </c>
      <c r="BJ110" s="24">
        <v>1029</v>
      </c>
      <c r="BK110" s="23">
        <v>179</v>
      </c>
      <c r="BL110" s="24">
        <v>21</v>
      </c>
      <c r="BM110" s="20">
        <v>20</v>
      </c>
      <c r="BN110" s="19">
        <v>10128</v>
      </c>
      <c r="BO110" s="23">
        <v>1110</v>
      </c>
      <c r="BP110" s="24">
        <v>1409</v>
      </c>
      <c r="BQ110" s="23">
        <v>343</v>
      </c>
      <c r="BR110" s="24">
        <v>1279</v>
      </c>
      <c r="BS110" s="23">
        <v>314</v>
      </c>
      <c r="BT110" s="26">
        <v>130</v>
      </c>
      <c r="BU110" s="23">
        <v>97</v>
      </c>
      <c r="BV110" s="24">
        <v>7539</v>
      </c>
      <c r="BW110" s="23">
        <v>841</v>
      </c>
      <c r="BX110" s="24">
        <v>6494</v>
      </c>
      <c r="BY110" s="23">
        <v>709</v>
      </c>
      <c r="BZ110" s="24">
        <v>1045</v>
      </c>
      <c r="CA110" s="23">
        <v>285</v>
      </c>
      <c r="CB110" s="24">
        <v>1180</v>
      </c>
      <c r="CC110" s="23">
        <v>190</v>
      </c>
      <c r="CD110" s="24">
        <v>1163</v>
      </c>
      <c r="CE110" s="23">
        <v>195</v>
      </c>
      <c r="CF110" s="24">
        <v>17</v>
      </c>
      <c r="CG110" s="20">
        <v>19</v>
      </c>
    </row>
    <row r="111" spans="1:85" x14ac:dyDescent="0.3">
      <c r="A111" t="s">
        <v>221</v>
      </c>
      <c r="B111">
        <v>20785</v>
      </c>
      <c r="C111" t="s">
        <v>222</v>
      </c>
      <c r="D111" s="19">
        <v>37189</v>
      </c>
      <c r="E111" s="20">
        <v>1299</v>
      </c>
      <c r="F111" s="19">
        <v>6971</v>
      </c>
      <c r="G111" s="23">
        <v>1269</v>
      </c>
      <c r="H111" s="24">
        <v>2826</v>
      </c>
      <c r="I111" s="23">
        <v>796</v>
      </c>
      <c r="J111" s="24">
        <v>2615</v>
      </c>
      <c r="K111" s="23">
        <v>769</v>
      </c>
      <c r="L111" s="24">
        <v>211</v>
      </c>
      <c r="M111" s="23">
        <v>161</v>
      </c>
      <c r="N111" s="24">
        <v>3526</v>
      </c>
      <c r="O111" s="23">
        <v>652</v>
      </c>
      <c r="P111" s="24">
        <v>2584</v>
      </c>
      <c r="Q111" s="23">
        <v>490</v>
      </c>
      <c r="R111" s="24">
        <v>942</v>
      </c>
      <c r="S111" s="23">
        <v>374</v>
      </c>
      <c r="T111" s="24">
        <v>619</v>
      </c>
      <c r="U111" s="23">
        <v>227</v>
      </c>
      <c r="V111" s="24">
        <v>596</v>
      </c>
      <c r="W111" s="23">
        <v>225</v>
      </c>
      <c r="X111" s="24">
        <v>23</v>
      </c>
      <c r="Y111" s="20">
        <v>28</v>
      </c>
      <c r="Z111" s="19">
        <v>4924</v>
      </c>
      <c r="AA111" s="23">
        <v>757</v>
      </c>
      <c r="AB111" s="24">
        <v>1910</v>
      </c>
      <c r="AC111" s="23">
        <v>435</v>
      </c>
      <c r="AD111" s="24">
        <v>1845</v>
      </c>
      <c r="AE111" s="23">
        <v>433</v>
      </c>
      <c r="AF111" s="24">
        <v>65</v>
      </c>
      <c r="AG111" s="23">
        <v>43</v>
      </c>
      <c r="AH111" s="24">
        <v>2359</v>
      </c>
      <c r="AI111" s="23">
        <v>405</v>
      </c>
      <c r="AJ111" s="24">
        <v>1881</v>
      </c>
      <c r="AK111" s="23">
        <v>344</v>
      </c>
      <c r="AL111" s="24">
        <v>478</v>
      </c>
      <c r="AM111" s="23">
        <v>153</v>
      </c>
      <c r="AN111" s="24">
        <v>655</v>
      </c>
      <c r="AO111" s="23">
        <v>172</v>
      </c>
      <c r="AP111" s="24">
        <v>643</v>
      </c>
      <c r="AQ111" s="23">
        <v>177</v>
      </c>
      <c r="AR111" s="24">
        <v>12</v>
      </c>
      <c r="AS111" s="20">
        <v>24</v>
      </c>
      <c r="AT111" s="19">
        <v>10909</v>
      </c>
      <c r="AU111" s="23">
        <v>1026</v>
      </c>
      <c r="AV111" s="24">
        <v>3053</v>
      </c>
      <c r="AW111" s="23">
        <v>447</v>
      </c>
      <c r="AX111" s="24">
        <v>2866</v>
      </c>
      <c r="AY111" s="23">
        <v>433</v>
      </c>
      <c r="AZ111" s="24">
        <v>187</v>
      </c>
      <c r="BA111" s="23">
        <v>127</v>
      </c>
      <c r="BB111" s="24">
        <v>6583</v>
      </c>
      <c r="BC111" s="23">
        <v>674</v>
      </c>
      <c r="BD111" s="24">
        <v>5315</v>
      </c>
      <c r="BE111" s="23">
        <v>548</v>
      </c>
      <c r="BF111" s="24">
        <v>1268</v>
      </c>
      <c r="BG111" s="23">
        <v>330</v>
      </c>
      <c r="BH111" s="24">
        <v>1273</v>
      </c>
      <c r="BI111" s="23">
        <v>207</v>
      </c>
      <c r="BJ111" s="24">
        <v>1213</v>
      </c>
      <c r="BK111" s="23">
        <v>198</v>
      </c>
      <c r="BL111" s="24">
        <v>60</v>
      </c>
      <c r="BM111" s="20">
        <v>56</v>
      </c>
      <c r="BN111" s="19">
        <v>14385</v>
      </c>
      <c r="BO111" s="23">
        <v>1014</v>
      </c>
      <c r="BP111" s="24">
        <v>2271</v>
      </c>
      <c r="BQ111" s="23">
        <v>397</v>
      </c>
      <c r="BR111" s="24">
        <v>2158</v>
      </c>
      <c r="BS111" s="23">
        <v>381</v>
      </c>
      <c r="BT111" s="26">
        <v>113</v>
      </c>
      <c r="BU111" s="23">
        <v>113</v>
      </c>
      <c r="BV111" s="24">
        <v>10456</v>
      </c>
      <c r="BW111" s="23">
        <v>731</v>
      </c>
      <c r="BX111" s="24">
        <v>9589</v>
      </c>
      <c r="BY111" s="23">
        <v>617</v>
      </c>
      <c r="BZ111" s="24">
        <v>867</v>
      </c>
      <c r="CA111" s="23">
        <v>245</v>
      </c>
      <c r="CB111" s="24">
        <v>1658</v>
      </c>
      <c r="CC111" s="23">
        <v>254</v>
      </c>
      <c r="CD111" s="24">
        <v>1648</v>
      </c>
      <c r="CE111" s="23">
        <v>254</v>
      </c>
      <c r="CF111" s="24">
        <v>10</v>
      </c>
      <c r="CG111" s="20">
        <v>15</v>
      </c>
    </row>
    <row r="112" spans="1:85" x14ac:dyDescent="0.3">
      <c r="A112" t="s">
        <v>223</v>
      </c>
      <c r="B112">
        <v>20794</v>
      </c>
      <c r="C112" t="s">
        <v>224</v>
      </c>
      <c r="D112" s="19">
        <v>9792</v>
      </c>
      <c r="E112" s="20">
        <v>983</v>
      </c>
      <c r="F112" s="19">
        <v>1067</v>
      </c>
      <c r="G112" s="23">
        <v>692</v>
      </c>
      <c r="H112" s="24">
        <v>156</v>
      </c>
      <c r="I112" s="23">
        <v>154</v>
      </c>
      <c r="J112" s="24">
        <v>131</v>
      </c>
      <c r="K112" s="23">
        <v>136</v>
      </c>
      <c r="L112" s="24">
        <v>25</v>
      </c>
      <c r="M112" s="23">
        <v>61</v>
      </c>
      <c r="N112" s="24">
        <v>604</v>
      </c>
      <c r="O112" s="23">
        <v>412</v>
      </c>
      <c r="P112" s="24">
        <v>477</v>
      </c>
      <c r="Q112" s="23">
        <v>385</v>
      </c>
      <c r="R112" s="24">
        <v>127</v>
      </c>
      <c r="S112" s="23">
        <v>174</v>
      </c>
      <c r="T112" s="24">
        <v>307</v>
      </c>
      <c r="U112" s="23">
        <v>276</v>
      </c>
      <c r="V112" s="24">
        <v>307</v>
      </c>
      <c r="W112" s="23">
        <v>276</v>
      </c>
      <c r="X112" s="24">
        <v>0</v>
      </c>
      <c r="Y112" s="20">
        <v>38</v>
      </c>
      <c r="Z112" s="19">
        <v>994</v>
      </c>
      <c r="AA112" s="23">
        <v>531</v>
      </c>
      <c r="AB112" s="24">
        <v>313</v>
      </c>
      <c r="AC112" s="23">
        <v>191</v>
      </c>
      <c r="AD112" s="24">
        <v>313</v>
      </c>
      <c r="AE112" s="23">
        <v>191</v>
      </c>
      <c r="AF112" s="24">
        <v>0</v>
      </c>
      <c r="AG112" s="23">
        <v>19</v>
      </c>
      <c r="AH112" s="24">
        <v>589</v>
      </c>
      <c r="AI112" s="23">
        <v>313</v>
      </c>
      <c r="AJ112" s="24">
        <v>455</v>
      </c>
      <c r="AK112" s="23">
        <v>256</v>
      </c>
      <c r="AL112" s="24">
        <v>134</v>
      </c>
      <c r="AM112" s="23">
        <v>135</v>
      </c>
      <c r="AN112" s="24">
        <v>92</v>
      </c>
      <c r="AO112" s="23">
        <v>77</v>
      </c>
      <c r="AP112" s="24">
        <v>92</v>
      </c>
      <c r="AQ112" s="23">
        <v>77</v>
      </c>
      <c r="AR112" s="24">
        <v>0</v>
      </c>
      <c r="AS112" s="20">
        <v>19</v>
      </c>
      <c r="AT112" s="19">
        <v>2058</v>
      </c>
      <c r="AU112" s="23">
        <v>608</v>
      </c>
      <c r="AV112" s="24">
        <v>662</v>
      </c>
      <c r="AW112" s="23">
        <v>233</v>
      </c>
      <c r="AX112" s="24">
        <v>638</v>
      </c>
      <c r="AY112" s="23">
        <v>231</v>
      </c>
      <c r="AZ112" s="24">
        <v>24</v>
      </c>
      <c r="BA112" s="23">
        <v>38</v>
      </c>
      <c r="BB112" s="24">
        <v>1126</v>
      </c>
      <c r="BC112" s="23">
        <v>374</v>
      </c>
      <c r="BD112" s="24">
        <v>822</v>
      </c>
      <c r="BE112" s="23">
        <v>290</v>
      </c>
      <c r="BF112" s="24">
        <v>304</v>
      </c>
      <c r="BG112" s="23">
        <v>192</v>
      </c>
      <c r="BH112" s="24">
        <v>270</v>
      </c>
      <c r="BI112" s="23">
        <v>169</v>
      </c>
      <c r="BJ112" s="24">
        <v>262</v>
      </c>
      <c r="BK112" s="23">
        <v>167</v>
      </c>
      <c r="BL112" s="24">
        <v>8</v>
      </c>
      <c r="BM112" s="20">
        <v>19</v>
      </c>
      <c r="BN112" s="19">
        <v>5673</v>
      </c>
      <c r="BO112" s="23">
        <v>920</v>
      </c>
      <c r="BP112" s="24">
        <v>1162</v>
      </c>
      <c r="BQ112" s="23">
        <v>320</v>
      </c>
      <c r="BR112" s="24">
        <v>1081</v>
      </c>
      <c r="BS112" s="23">
        <v>299</v>
      </c>
      <c r="BT112" s="26">
        <v>81</v>
      </c>
      <c r="BU112" s="23">
        <v>96</v>
      </c>
      <c r="BV112" s="24">
        <v>4146</v>
      </c>
      <c r="BW112" s="23">
        <v>636</v>
      </c>
      <c r="BX112" s="24">
        <v>4062</v>
      </c>
      <c r="BY112" s="23">
        <v>620</v>
      </c>
      <c r="BZ112" s="24">
        <v>84</v>
      </c>
      <c r="CA112" s="23">
        <v>67</v>
      </c>
      <c r="CB112" s="24">
        <v>365</v>
      </c>
      <c r="CC112" s="23">
        <v>160</v>
      </c>
      <c r="CD112" s="24">
        <v>365</v>
      </c>
      <c r="CE112" s="23">
        <v>160</v>
      </c>
      <c r="CF112" s="24">
        <v>0</v>
      </c>
      <c r="CG112" s="20">
        <v>19</v>
      </c>
    </row>
    <row r="113" spans="1:85" x14ac:dyDescent="0.3">
      <c r="A113" t="s">
        <v>225</v>
      </c>
      <c r="B113">
        <v>20812</v>
      </c>
      <c r="C113" t="s">
        <v>226</v>
      </c>
      <c r="D113" s="19">
        <v>341</v>
      </c>
      <c r="E113" s="20">
        <v>82</v>
      </c>
      <c r="F113" s="19">
        <v>13</v>
      </c>
      <c r="G113" s="23">
        <v>33</v>
      </c>
      <c r="H113" s="24">
        <v>5</v>
      </c>
      <c r="I113" s="23">
        <v>21</v>
      </c>
      <c r="J113" s="24">
        <v>4</v>
      </c>
      <c r="K113" s="23">
        <v>18</v>
      </c>
      <c r="L113" s="24">
        <v>1</v>
      </c>
      <c r="M113" s="23">
        <v>16</v>
      </c>
      <c r="N113" s="24">
        <v>8</v>
      </c>
      <c r="O113" s="23">
        <v>25</v>
      </c>
      <c r="P113" s="24">
        <v>8</v>
      </c>
      <c r="Q113" s="23">
        <v>25</v>
      </c>
      <c r="R113" s="24">
        <v>0</v>
      </c>
      <c r="S113" s="23">
        <v>24</v>
      </c>
      <c r="T113" s="24">
        <v>0</v>
      </c>
      <c r="U113" s="23">
        <v>24</v>
      </c>
      <c r="V113" s="24">
        <v>0</v>
      </c>
      <c r="W113" s="23">
        <v>24</v>
      </c>
      <c r="X113" s="24">
        <v>0</v>
      </c>
      <c r="Y113" s="20">
        <v>24</v>
      </c>
      <c r="Z113" s="19">
        <v>4</v>
      </c>
      <c r="AA113" s="23">
        <v>5</v>
      </c>
      <c r="AB113" s="24">
        <v>0</v>
      </c>
      <c r="AC113" s="23">
        <v>12</v>
      </c>
      <c r="AD113" s="24">
        <v>0</v>
      </c>
      <c r="AE113" s="23">
        <v>12</v>
      </c>
      <c r="AF113" s="24">
        <v>0</v>
      </c>
      <c r="AG113" s="23">
        <v>12</v>
      </c>
      <c r="AH113" s="24">
        <v>4</v>
      </c>
      <c r="AI113" s="23">
        <v>5</v>
      </c>
      <c r="AJ113" s="24">
        <v>1</v>
      </c>
      <c r="AK113" s="23">
        <v>2</v>
      </c>
      <c r="AL113" s="24">
        <v>3</v>
      </c>
      <c r="AM113" s="23">
        <v>5</v>
      </c>
      <c r="AN113" s="24">
        <v>0</v>
      </c>
      <c r="AO113" s="23">
        <v>12</v>
      </c>
      <c r="AP113" s="24">
        <v>0</v>
      </c>
      <c r="AQ113" s="23">
        <v>12</v>
      </c>
      <c r="AR113" s="24">
        <v>0</v>
      </c>
      <c r="AS113" s="20">
        <v>12</v>
      </c>
      <c r="AT113" s="19">
        <v>27</v>
      </c>
      <c r="AU113" s="23">
        <v>22</v>
      </c>
      <c r="AV113" s="24">
        <v>8</v>
      </c>
      <c r="AW113" s="23">
        <v>11</v>
      </c>
      <c r="AX113" s="24">
        <v>8</v>
      </c>
      <c r="AY113" s="23">
        <v>11</v>
      </c>
      <c r="AZ113" s="24">
        <v>0</v>
      </c>
      <c r="BA113" s="23">
        <v>12</v>
      </c>
      <c r="BB113" s="24">
        <v>16</v>
      </c>
      <c r="BC113" s="23">
        <v>11</v>
      </c>
      <c r="BD113" s="24">
        <v>16</v>
      </c>
      <c r="BE113" s="23">
        <v>11</v>
      </c>
      <c r="BF113" s="24">
        <v>0</v>
      </c>
      <c r="BG113" s="23">
        <v>12</v>
      </c>
      <c r="BH113" s="24">
        <v>3</v>
      </c>
      <c r="BI113" s="23">
        <v>6</v>
      </c>
      <c r="BJ113" s="24">
        <v>3</v>
      </c>
      <c r="BK113" s="23">
        <v>6</v>
      </c>
      <c r="BL113" s="24">
        <v>0</v>
      </c>
      <c r="BM113" s="20">
        <v>12</v>
      </c>
      <c r="BN113" s="19">
        <v>297</v>
      </c>
      <c r="BO113" s="23">
        <v>78</v>
      </c>
      <c r="BP113" s="24">
        <v>102</v>
      </c>
      <c r="BQ113" s="23">
        <v>37</v>
      </c>
      <c r="BR113" s="24">
        <v>102</v>
      </c>
      <c r="BS113" s="23">
        <v>37</v>
      </c>
      <c r="BT113" s="26">
        <v>0</v>
      </c>
      <c r="BU113" s="23">
        <v>12</v>
      </c>
      <c r="BV113" s="24">
        <v>165</v>
      </c>
      <c r="BW113" s="23">
        <v>48</v>
      </c>
      <c r="BX113" s="24">
        <v>161</v>
      </c>
      <c r="BY113" s="23">
        <v>48</v>
      </c>
      <c r="BZ113" s="24">
        <v>4</v>
      </c>
      <c r="CA113" s="23">
        <v>5</v>
      </c>
      <c r="CB113" s="24">
        <v>30</v>
      </c>
      <c r="CC113" s="23">
        <v>16</v>
      </c>
      <c r="CD113" s="24">
        <v>30</v>
      </c>
      <c r="CE113" s="23">
        <v>16</v>
      </c>
      <c r="CF113" s="24">
        <v>0</v>
      </c>
      <c r="CG113" s="20">
        <v>12</v>
      </c>
    </row>
    <row r="114" spans="1:85" x14ac:dyDescent="0.3">
      <c r="A114" t="s">
        <v>227</v>
      </c>
      <c r="B114">
        <v>20814</v>
      </c>
      <c r="C114" t="s">
        <v>228</v>
      </c>
      <c r="D114" s="19">
        <v>28096</v>
      </c>
      <c r="E114" s="20">
        <v>771</v>
      </c>
      <c r="F114" s="19">
        <v>1572</v>
      </c>
      <c r="G114" s="23">
        <v>393</v>
      </c>
      <c r="H114" s="24">
        <v>188</v>
      </c>
      <c r="I114" s="23">
        <v>136</v>
      </c>
      <c r="J114" s="24">
        <v>177</v>
      </c>
      <c r="K114" s="23">
        <v>126</v>
      </c>
      <c r="L114" s="24">
        <v>11</v>
      </c>
      <c r="M114" s="23">
        <v>39</v>
      </c>
      <c r="N114" s="24">
        <v>936</v>
      </c>
      <c r="O114" s="23">
        <v>259</v>
      </c>
      <c r="P114" s="24">
        <v>841</v>
      </c>
      <c r="Q114" s="23">
        <v>252</v>
      </c>
      <c r="R114" s="24">
        <v>95</v>
      </c>
      <c r="S114" s="23">
        <v>68</v>
      </c>
      <c r="T114" s="24">
        <v>448</v>
      </c>
      <c r="U114" s="23">
        <v>200</v>
      </c>
      <c r="V114" s="24">
        <v>426</v>
      </c>
      <c r="W114" s="23">
        <v>201</v>
      </c>
      <c r="X114" s="24">
        <v>22</v>
      </c>
      <c r="Y114" s="20">
        <v>47</v>
      </c>
      <c r="Z114" s="19">
        <v>1022</v>
      </c>
      <c r="AA114" s="23">
        <v>232</v>
      </c>
      <c r="AB114" s="24">
        <v>160</v>
      </c>
      <c r="AC114" s="23">
        <v>82</v>
      </c>
      <c r="AD114" s="24">
        <v>160</v>
      </c>
      <c r="AE114" s="23">
        <v>82</v>
      </c>
      <c r="AF114" s="24">
        <v>0</v>
      </c>
      <c r="AG114" s="23">
        <v>22</v>
      </c>
      <c r="AH114" s="24">
        <v>561</v>
      </c>
      <c r="AI114" s="23">
        <v>146</v>
      </c>
      <c r="AJ114" s="24">
        <v>469</v>
      </c>
      <c r="AK114" s="23">
        <v>132</v>
      </c>
      <c r="AL114" s="24">
        <v>92</v>
      </c>
      <c r="AM114" s="23">
        <v>56</v>
      </c>
      <c r="AN114" s="24">
        <v>301</v>
      </c>
      <c r="AO114" s="23">
        <v>119</v>
      </c>
      <c r="AP114" s="24">
        <v>301</v>
      </c>
      <c r="AQ114" s="23">
        <v>119</v>
      </c>
      <c r="AR114" s="24">
        <v>0</v>
      </c>
      <c r="AS114" s="20">
        <v>22</v>
      </c>
      <c r="AT114" s="19">
        <v>3879</v>
      </c>
      <c r="AU114" s="23">
        <v>545</v>
      </c>
      <c r="AV114" s="24">
        <v>830</v>
      </c>
      <c r="AW114" s="23">
        <v>217</v>
      </c>
      <c r="AX114" s="24">
        <v>830</v>
      </c>
      <c r="AY114" s="23">
        <v>217</v>
      </c>
      <c r="AZ114" s="24">
        <v>0</v>
      </c>
      <c r="BA114" s="23">
        <v>22</v>
      </c>
      <c r="BB114" s="24">
        <v>2267</v>
      </c>
      <c r="BC114" s="23">
        <v>316</v>
      </c>
      <c r="BD114" s="24">
        <v>2189</v>
      </c>
      <c r="BE114" s="23">
        <v>328</v>
      </c>
      <c r="BF114" s="24">
        <v>78</v>
      </c>
      <c r="BG114" s="23">
        <v>52</v>
      </c>
      <c r="BH114" s="24">
        <v>782</v>
      </c>
      <c r="BI114" s="23">
        <v>184</v>
      </c>
      <c r="BJ114" s="24">
        <v>737</v>
      </c>
      <c r="BK114" s="23">
        <v>171</v>
      </c>
      <c r="BL114" s="24">
        <v>45</v>
      </c>
      <c r="BM114" s="20">
        <v>51</v>
      </c>
      <c r="BN114" s="19">
        <v>21623</v>
      </c>
      <c r="BO114" s="23">
        <v>770</v>
      </c>
      <c r="BP114" s="24">
        <v>4590</v>
      </c>
      <c r="BQ114" s="23">
        <v>355</v>
      </c>
      <c r="BR114" s="24">
        <v>4590</v>
      </c>
      <c r="BS114" s="23">
        <v>355</v>
      </c>
      <c r="BT114" s="26">
        <v>0</v>
      </c>
      <c r="BU114" s="23">
        <v>22</v>
      </c>
      <c r="BV114" s="24">
        <v>13561</v>
      </c>
      <c r="BW114" s="23">
        <v>539</v>
      </c>
      <c r="BX114" s="24">
        <v>13299</v>
      </c>
      <c r="BY114" s="23">
        <v>540</v>
      </c>
      <c r="BZ114" s="24">
        <v>262</v>
      </c>
      <c r="CA114" s="23">
        <v>115</v>
      </c>
      <c r="CB114" s="24">
        <v>3472</v>
      </c>
      <c r="CC114" s="23">
        <v>233</v>
      </c>
      <c r="CD114" s="24">
        <v>3463</v>
      </c>
      <c r="CE114" s="23">
        <v>233</v>
      </c>
      <c r="CF114" s="24">
        <v>9</v>
      </c>
      <c r="CG114" s="20">
        <v>15</v>
      </c>
    </row>
    <row r="115" spans="1:85" x14ac:dyDescent="0.3">
      <c r="A115" t="s">
        <v>229</v>
      </c>
      <c r="B115">
        <v>20815</v>
      </c>
      <c r="C115" t="s">
        <v>230</v>
      </c>
      <c r="D115" s="19">
        <v>30209</v>
      </c>
      <c r="E115" s="20">
        <v>882</v>
      </c>
      <c r="F115" s="19">
        <v>1668</v>
      </c>
      <c r="G115" s="23">
        <v>506</v>
      </c>
      <c r="H115" s="24">
        <v>306</v>
      </c>
      <c r="I115" s="23">
        <v>206</v>
      </c>
      <c r="J115" s="24">
        <v>249</v>
      </c>
      <c r="K115" s="23">
        <v>178</v>
      </c>
      <c r="L115" s="24">
        <v>57</v>
      </c>
      <c r="M115" s="23">
        <v>108</v>
      </c>
      <c r="N115" s="24">
        <v>1051</v>
      </c>
      <c r="O115" s="23">
        <v>337</v>
      </c>
      <c r="P115" s="24">
        <v>955</v>
      </c>
      <c r="Q115" s="23">
        <v>323</v>
      </c>
      <c r="R115" s="24">
        <v>96</v>
      </c>
      <c r="S115" s="23">
        <v>95</v>
      </c>
      <c r="T115" s="24">
        <v>311</v>
      </c>
      <c r="U115" s="23">
        <v>150</v>
      </c>
      <c r="V115" s="24">
        <v>309</v>
      </c>
      <c r="W115" s="23">
        <v>149</v>
      </c>
      <c r="X115" s="24">
        <v>2</v>
      </c>
      <c r="Y115" s="20">
        <v>28</v>
      </c>
      <c r="Z115" s="19">
        <v>748</v>
      </c>
      <c r="AA115" s="23">
        <v>317</v>
      </c>
      <c r="AB115" s="24">
        <v>129</v>
      </c>
      <c r="AC115" s="23">
        <v>108</v>
      </c>
      <c r="AD115" s="24">
        <v>129</v>
      </c>
      <c r="AE115" s="23">
        <v>108</v>
      </c>
      <c r="AF115" s="24">
        <v>0</v>
      </c>
      <c r="AG115" s="23">
        <v>25</v>
      </c>
      <c r="AH115" s="24">
        <v>446</v>
      </c>
      <c r="AI115" s="23">
        <v>205</v>
      </c>
      <c r="AJ115" s="24">
        <v>325</v>
      </c>
      <c r="AK115" s="23">
        <v>213</v>
      </c>
      <c r="AL115" s="24">
        <v>121</v>
      </c>
      <c r="AM115" s="23">
        <v>96</v>
      </c>
      <c r="AN115" s="24">
        <v>173</v>
      </c>
      <c r="AO115" s="23">
        <v>67</v>
      </c>
      <c r="AP115" s="24">
        <v>173</v>
      </c>
      <c r="AQ115" s="23">
        <v>67</v>
      </c>
      <c r="AR115" s="24">
        <v>0</v>
      </c>
      <c r="AS115" s="20">
        <v>25</v>
      </c>
      <c r="AT115" s="19">
        <v>2582</v>
      </c>
      <c r="AU115" s="23">
        <v>446</v>
      </c>
      <c r="AV115" s="24">
        <v>420</v>
      </c>
      <c r="AW115" s="23">
        <v>182</v>
      </c>
      <c r="AX115" s="24">
        <v>420</v>
      </c>
      <c r="AY115" s="23">
        <v>182</v>
      </c>
      <c r="AZ115" s="24">
        <v>0</v>
      </c>
      <c r="BA115" s="23">
        <v>25</v>
      </c>
      <c r="BB115" s="24">
        <v>1443</v>
      </c>
      <c r="BC115" s="23">
        <v>310</v>
      </c>
      <c r="BD115" s="24">
        <v>1337</v>
      </c>
      <c r="BE115" s="23">
        <v>281</v>
      </c>
      <c r="BF115" s="24">
        <v>106</v>
      </c>
      <c r="BG115" s="23">
        <v>100</v>
      </c>
      <c r="BH115" s="24">
        <v>719</v>
      </c>
      <c r="BI115" s="23">
        <v>181</v>
      </c>
      <c r="BJ115" s="24">
        <v>719</v>
      </c>
      <c r="BK115" s="23">
        <v>181</v>
      </c>
      <c r="BL115" s="24">
        <v>0</v>
      </c>
      <c r="BM115" s="20">
        <v>25</v>
      </c>
      <c r="BN115" s="19">
        <v>25211</v>
      </c>
      <c r="BO115" s="23">
        <v>987</v>
      </c>
      <c r="BP115" s="24">
        <v>5899</v>
      </c>
      <c r="BQ115" s="23">
        <v>347</v>
      </c>
      <c r="BR115" s="24">
        <v>5738</v>
      </c>
      <c r="BS115" s="23">
        <v>336</v>
      </c>
      <c r="BT115" s="26">
        <v>161</v>
      </c>
      <c r="BU115" s="23">
        <v>147</v>
      </c>
      <c r="BV115" s="24">
        <v>13650</v>
      </c>
      <c r="BW115" s="23">
        <v>778</v>
      </c>
      <c r="BX115" s="24">
        <v>13109</v>
      </c>
      <c r="BY115" s="23">
        <v>509</v>
      </c>
      <c r="BZ115" s="24">
        <v>541</v>
      </c>
      <c r="CA115" s="23">
        <v>567</v>
      </c>
      <c r="CB115" s="24">
        <v>5662</v>
      </c>
      <c r="CC115" s="23">
        <v>325</v>
      </c>
      <c r="CD115" s="24">
        <v>5639</v>
      </c>
      <c r="CE115" s="23">
        <v>324</v>
      </c>
      <c r="CF115" s="24">
        <v>23</v>
      </c>
      <c r="CG115" s="20">
        <v>33</v>
      </c>
    </row>
    <row r="116" spans="1:85" x14ac:dyDescent="0.3">
      <c r="A116" t="s">
        <v>231</v>
      </c>
      <c r="B116">
        <v>20816</v>
      </c>
      <c r="C116" t="s">
        <v>232</v>
      </c>
      <c r="D116" s="19">
        <v>16203</v>
      </c>
      <c r="E116" s="20">
        <v>582</v>
      </c>
      <c r="F116" s="19">
        <v>408</v>
      </c>
      <c r="G116" s="23">
        <v>210</v>
      </c>
      <c r="H116" s="24">
        <v>62</v>
      </c>
      <c r="I116" s="23">
        <v>83</v>
      </c>
      <c r="J116" s="24">
        <v>52</v>
      </c>
      <c r="K116" s="23">
        <v>79</v>
      </c>
      <c r="L116" s="24">
        <v>10</v>
      </c>
      <c r="M116" s="23">
        <v>34</v>
      </c>
      <c r="N116" s="24">
        <v>216</v>
      </c>
      <c r="O116" s="23">
        <v>129</v>
      </c>
      <c r="P116" s="24">
        <v>216</v>
      </c>
      <c r="Q116" s="23">
        <v>129</v>
      </c>
      <c r="R116" s="24">
        <v>0</v>
      </c>
      <c r="S116" s="23">
        <v>38</v>
      </c>
      <c r="T116" s="24">
        <v>130</v>
      </c>
      <c r="U116" s="23">
        <v>84</v>
      </c>
      <c r="V116" s="24">
        <v>130</v>
      </c>
      <c r="W116" s="23">
        <v>84</v>
      </c>
      <c r="X116" s="24">
        <v>0</v>
      </c>
      <c r="Y116" s="20">
        <v>38</v>
      </c>
      <c r="Z116" s="19">
        <v>76</v>
      </c>
      <c r="AA116" s="23">
        <v>57</v>
      </c>
      <c r="AB116" s="24">
        <v>0</v>
      </c>
      <c r="AC116" s="23">
        <v>19</v>
      </c>
      <c r="AD116" s="24">
        <v>0</v>
      </c>
      <c r="AE116" s="23">
        <v>19</v>
      </c>
      <c r="AF116" s="24">
        <v>0</v>
      </c>
      <c r="AG116" s="23">
        <v>19</v>
      </c>
      <c r="AH116" s="24">
        <v>56</v>
      </c>
      <c r="AI116" s="23">
        <v>53</v>
      </c>
      <c r="AJ116" s="24">
        <v>51</v>
      </c>
      <c r="AK116" s="23">
        <v>52</v>
      </c>
      <c r="AL116" s="24">
        <v>5</v>
      </c>
      <c r="AM116" s="23">
        <v>10</v>
      </c>
      <c r="AN116" s="24">
        <v>20</v>
      </c>
      <c r="AO116" s="23">
        <v>21</v>
      </c>
      <c r="AP116" s="24">
        <v>20</v>
      </c>
      <c r="AQ116" s="23">
        <v>21</v>
      </c>
      <c r="AR116" s="24">
        <v>0</v>
      </c>
      <c r="AS116" s="20">
        <v>19</v>
      </c>
      <c r="AT116" s="19">
        <v>1341</v>
      </c>
      <c r="AU116" s="23">
        <v>348</v>
      </c>
      <c r="AV116" s="24">
        <v>276</v>
      </c>
      <c r="AW116" s="23">
        <v>139</v>
      </c>
      <c r="AX116" s="24">
        <v>268</v>
      </c>
      <c r="AY116" s="23">
        <v>140</v>
      </c>
      <c r="AZ116" s="24">
        <v>8</v>
      </c>
      <c r="BA116" s="23">
        <v>13</v>
      </c>
      <c r="BB116" s="24">
        <v>654</v>
      </c>
      <c r="BC116" s="23">
        <v>191</v>
      </c>
      <c r="BD116" s="24">
        <v>573</v>
      </c>
      <c r="BE116" s="23">
        <v>174</v>
      </c>
      <c r="BF116" s="24">
        <v>81</v>
      </c>
      <c r="BG116" s="23">
        <v>67</v>
      </c>
      <c r="BH116" s="24">
        <v>411</v>
      </c>
      <c r="BI116" s="23">
        <v>133</v>
      </c>
      <c r="BJ116" s="24">
        <v>411</v>
      </c>
      <c r="BK116" s="23">
        <v>133</v>
      </c>
      <c r="BL116" s="24">
        <v>0</v>
      </c>
      <c r="BM116" s="20">
        <v>19</v>
      </c>
      <c r="BN116" s="19">
        <v>14378</v>
      </c>
      <c r="BO116" s="23">
        <v>660</v>
      </c>
      <c r="BP116" s="24">
        <v>4157</v>
      </c>
      <c r="BQ116" s="23">
        <v>381</v>
      </c>
      <c r="BR116" s="24">
        <v>4157</v>
      </c>
      <c r="BS116" s="23">
        <v>381</v>
      </c>
      <c r="BT116" s="26">
        <v>0</v>
      </c>
      <c r="BU116" s="23">
        <v>19</v>
      </c>
      <c r="BV116" s="24">
        <v>7465</v>
      </c>
      <c r="BW116" s="23">
        <v>371</v>
      </c>
      <c r="BX116" s="24">
        <v>7409</v>
      </c>
      <c r="BY116" s="23">
        <v>371</v>
      </c>
      <c r="BZ116" s="24">
        <v>56</v>
      </c>
      <c r="CA116" s="23">
        <v>38</v>
      </c>
      <c r="CB116" s="24">
        <v>2756</v>
      </c>
      <c r="CC116" s="23">
        <v>200</v>
      </c>
      <c r="CD116" s="24">
        <v>2736</v>
      </c>
      <c r="CE116" s="23">
        <v>202</v>
      </c>
      <c r="CF116" s="24">
        <v>20</v>
      </c>
      <c r="CG116" s="20">
        <v>31</v>
      </c>
    </row>
    <row r="117" spans="1:85" x14ac:dyDescent="0.3">
      <c r="A117" t="s">
        <v>233</v>
      </c>
      <c r="B117">
        <v>20817</v>
      </c>
      <c r="C117" t="s">
        <v>234</v>
      </c>
      <c r="D117" s="19">
        <v>36932</v>
      </c>
      <c r="E117" s="20">
        <v>921</v>
      </c>
      <c r="F117" s="19">
        <v>1332</v>
      </c>
      <c r="G117" s="23">
        <v>382</v>
      </c>
      <c r="H117" s="24">
        <v>294</v>
      </c>
      <c r="I117" s="23">
        <v>178</v>
      </c>
      <c r="J117" s="24">
        <v>288</v>
      </c>
      <c r="K117" s="23">
        <v>176</v>
      </c>
      <c r="L117" s="24">
        <v>6</v>
      </c>
      <c r="M117" s="23">
        <v>34</v>
      </c>
      <c r="N117" s="24">
        <v>669</v>
      </c>
      <c r="O117" s="23">
        <v>223</v>
      </c>
      <c r="P117" s="24">
        <v>616</v>
      </c>
      <c r="Q117" s="23">
        <v>195</v>
      </c>
      <c r="R117" s="24">
        <v>53</v>
      </c>
      <c r="S117" s="23">
        <v>65</v>
      </c>
      <c r="T117" s="24">
        <v>369</v>
      </c>
      <c r="U117" s="23">
        <v>128</v>
      </c>
      <c r="V117" s="24">
        <v>369</v>
      </c>
      <c r="W117" s="23">
        <v>128</v>
      </c>
      <c r="X117" s="24">
        <v>0</v>
      </c>
      <c r="Y117" s="20">
        <v>50</v>
      </c>
      <c r="Z117" s="19">
        <v>783</v>
      </c>
      <c r="AA117" s="23">
        <v>248</v>
      </c>
      <c r="AB117" s="24">
        <v>104</v>
      </c>
      <c r="AC117" s="23">
        <v>80</v>
      </c>
      <c r="AD117" s="24">
        <v>104</v>
      </c>
      <c r="AE117" s="23">
        <v>80</v>
      </c>
      <c r="AF117" s="24">
        <v>0</v>
      </c>
      <c r="AG117" s="23">
        <v>25</v>
      </c>
      <c r="AH117" s="24">
        <v>412</v>
      </c>
      <c r="AI117" s="23">
        <v>149</v>
      </c>
      <c r="AJ117" s="24">
        <v>377</v>
      </c>
      <c r="AK117" s="23">
        <v>148</v>
      </c>
      <c r="AL117" s="24">
        <v>35</v>
      </c>
      <c r="AM117" s="23">
        <v>32</v>
      </c>
      <c r="AN117" s="24">
        <v>267</v>
      </c>
      <c r="AO117" s="23">
        <v>89</v>
      </c>
      <c r="AP117" s="24">
        <v>267</v>
      </c>
      <c r="AQ117" s="23">
        <v>89</v>
      </c>
      <c r="AR117" s="24">
        <v>0</v>
      </c>
      <c r="AS117" s="20">
        <v>25</v>
      </c>
      <c r="AT117" s="19">
        <v>2993</v>
      </c>
      <c r="AU117" s="23">
        <v>422</v>
      </c>
      <c r="AV117" s="24">
        <v>613</v>
      </c>
      <c r="AW117" s="23">
        <v>197</v>
      </c>
      <c r="AX117" s="24">
        <v>612</v>
      </c>
      <c r="AY117" s="23">
        <v>201</v>
      </c>
      <c r="AZ117" s="24">
        <v>1</v>
      </c>
      <c r="BA117" s="23">
        <v>11</v>
      </c>
      <c r="BB117" s="24">
        <v>1736</v>
      </c>
      <c r="BC117" s="23">
        <v>296</v>
      </c>
      <c r="BD117" s="24">
        <v>1496</v>
      </c>
      <c r="BE117" s="23">
        <v>274</v>
      </c>
      <c r="BF117" s="24">
        <v>240</v>
      </c>
      <c r="BG117" s="23">
        <v>120</v>
      </c>
      <c r="BH117" s="24">
        <v>644</v>
      </c>
      <c r="BI117" s="23">
        <v>132</v>
      </c>
      <c r="BJ117" s="24">
        <v>631</v>
      </c>
      <c r="BK117" s="23">
        <v>131</v>
      </c>
      <c r="BL117" s="24">
        <v>13</v>
      </c>
      <c r="BM117" s="20">
        <v>22</v>
      </c>
      <c r="BN117" s="19">
        <v>31824</v>
      </c>
      <c r="BO117" s="23">
        <v>884</v>
      </c>
      <c r="BP117" s="24">
        <v>8879</v>
      </c>
      <c r="BQ117" s="23">
        <v>406</v>
      </c>
      <c r="BR117" s="24">
        <v>8790</v>
      </c>
      <c r="BS117" s="23">
        <v>410</v>
      </c>
      <c r="BT117" s="26">
        <v>89</v>
      </c>
      <c r="BU117" s="23">
        <v>55</v>
      </c>
      <c r="BV117" s="24">
        <v>17047</v>
      </c>
      <c r="BW117" s="23">
        <v>549</v>
      </c>
      <c r="BX117" s="24">
        <v>16743</v>
      </c>
      <c r="BY117" s="23">
        <v>552</v>
      </c>
      <c r="BZ117" s="24">
        <v>304</v>
      </c>
      <c r="CA117" s="23">
        <v>113</v>
      </c>
      <c r="CB117" s="24">
        <v>5898</v>
      </c>
      <c r="CC117" s="23">
        <v>282</v>
      </c>
      <c r="CD117" s="24">
        <v>5866</v>
      </c>
      <c r="CE117" s="23">
        <v>287</v>
      </c>
      <c r="CF117" s="24">
        <v>32</v>
      </c>
      <c r="CG117" s="20">
        <v>29</v>
      </c>
    </row>
    <row r="118" spans="1:85" x14ac:dyDescent="0.3">
      <c r="A118" t="s">
        <v>235</v>
      </c>
      <c r="B118">
        <v>20818</v>
      </c>
      <c r="C118" t="s">
        <v>236</v>
      </c>
      <c r="D118" s="19">
        <v>2006</v>
      </c>
      <c r="E118" s="20">
        <v>334</v>
      </c>
      <c r="F118" s="19">
        <v>96</v>
      </c>
      <c r="G118" s="23">
        <v>90</v>
      </c>
      <c r="H118" s="24">
        <v>0</v>
      </c>
      <c r="I118" s="23">
        <v>24</v>
      </c>
      <c r="J118" s="24">
        <v>0</v>
      </c>
      <c r="K118" s="23">
        <v>24</v>
      </c>
      <c r="L118" s="24">
        <v>0</v>
      </c>
      <c r="M118" s="23">
        <v>24</v>
      </c>
      <c r="N118" s="24">
        <v>96</v>
      </c>
      <c r="O118" s="23">
        <v>90</v>
      </c>
      <c r="P118" s="24">
        <v>79</v>
      </c>
      <c r="Q118" s="23">
        <v>83</v>
      </c>
      <c r="R118" s="24">
        <v>17</v>
      </c>
      <c r="S118" s="23">
        <v>38</v>
      </c>
      <c r="T118" s="24">
        <v>0</v>
      </c>
      <c r="U118" s="23">
        <v>24</v>
      </c>
      <c r="V118" s="24">
        <v>0</v>
      </c>
      <c r="W118" s="23">
        <v>24</v>
      </c>
      <c r="X118" s="24">
        <v>0</v>
      </c>
      <c r="Y118" s="20">
        <v>24</v>
      </c>
      <c r="Z118" s="19">
        <v>27</v>
      </c>
      <c r="AA118" s="23">
        <v>30</v>
      </c>
      <c r="AB118" s="24">
        <v>0</v>
      </c>
      <c r="AC118" s="23">
        <v>12</v>
      </c>
      <c r="AD118" s="24">
        <v>0</v>
      </c>
      <c r="AE118" s="23">
        <v>12</v>
      </c>
      <c r="AF118" s="24">
        <v>0</v>
      </c>
      <c r="AG118" s="23">
        <v>12</v>
      </c>
      <c r="AH118" s="24">
        <v>14</v>
      </c>
      <c r="AI118" s="23">
        <v>22</v>
      </c>
      <c r="AJ118" s="24">
        <v>14</v>
      </c>
      <c r="AK118" s="23">
        <v>22</v>
      </c>
      <c r="AL118" s="24">
        <v>0</v>
      </c>
      <c r="AM118" s="23">
        <v>12</v>
      </c>
      <c r="AN118" s="24">
        <v>13</v>
      </c>
      <c r="AO118" s="23">
        <v>20</v>
      </c>
      <c r="AP118" s="24">
        <v>13</v>
      </c>
      <c r="AQ118" s="23">
        <v>20</v>
      </c>
      <c r="AR118" s="24">
        <v>0</v>
      </c>
      <c r="AS118" s="20">
        <v>12</v>
      </c>
      <c r="AT118" s="19">
        <v>193</v>
      </c>
      <c r="AU118" s="23">
        <v>179</v>
      </c>
      <c r="AV118" s="24">
        <v>43</v>
      </c>
      <c r="AW118" s="23">
        <v>65</v>
      </c>
      <c r="AX118" s="24">
        <v>43</v>
      </c>
      <c r="AY118" s="23">
        <v>65</v>
      </c>
      <c r="AZ118" s="24">
        <v>0</v>
      </c>
      <c r="BA118" s="23">
        <v>12</v>
      </c>
      <c r="BB118" s="24">
        <v>120</v>
      </c>
      <c r="BC118" s="23">
        <v>115</v>
      </c>
      <c r="BD118" s="24">
        <v>110</v>
      </c>
      <c r="BE118" s="23">
        <v>110</v>
      </c>
      <c r="BF118" s="24">
        <v>10</v>
      </c>
      <c r="BG118" s="23">
        <v>19</v>
      </c>
      <c r="BH118" s="24">
        <v>30</v>
      </c>
      <c r="BI118" s="23">
        <v>33</v>
      </c>
      <c r="BJ118" s="24">
        <v>30</v>
      </c>
      <c r="BK118" s="23">
        <v>33</v>
      </c>
      <c r="BL118" s="24">
        <v>0</v>
      </c>
      <c r="BM118" s="20">
        <v>12</v>
      </c>
      <c r="BN118" s="19">
        <v>1690</v>
      </c>
      <c r="BO118" s="23">
        <v>342</v>
      </c>
      <c r="BP118" s="24">
        <v>458</v>
      </c>
      <c r="BQ118" s="23">
        <v>200</v>
      </c>
      <c r="BR118" s="24">
        <v>441</v>
      </c>
      <c r="BS118" s="23">
        <v>184</v>
      </c>
      <c r="BT118" s="26">
        <v>17</v>
      </c>
      <c r="BU118" s="23">
        <v>27</v>
      </c>
      <c r="BV118" s="24">
        <v>964</v>
      </c>
      <c r="BW118" s="23">
        <v>180</v>
      </c>
      <c r="BX118" s="24">
        <v>964</v>
      </c>
      <c r="BY118" s="23">
        <v>180</v>
      </c>
      <c r="BZ118" s="24">
        <v>0</v>
      </c>
      <c r="CA118" s="23">
        <v>12</v>
      </c>
      <c r="CB118" s="24">
        <v>268</v>
      </c>
      <c r="CC118" s="23">
        <v>112</v>
      </c>
      <c r="CD118" s="24">
        <v>268</v>
      </c>
      <c r="CE118" s="23">
        <v>112</v>
      </c>
      <c r="CF118" s="24">
        <v>0</v>
      </c>
      <c r="CG118" s="20">
        <v>12</v>
      </c>
    </row>
    <row r="119" spans="1:85" x14ac:dyDescent="0.3">
      <c r="A119" t="s">
        <v>237</v>
      </c>
      <c r="B119">
        <v>20832</v>
      </c>
      <c r="C119" t="s">
        <v>238</v>
      </c>
      <c r="D119" s="19">
        <v>26739</v>
      </c>
      <c r="E119" s="20">
        <v>742</v>
      </c>
      <c r="F119" s="19">
        <v>1356</v>
      </c>
      <c r="G119" s="23">
        <v>549</v>
      </c>
      <c r="H119" s="24">
        <v>422</v>
      </c>
      <c r="I119" s="23">
        <v>299</v>
      </c>
      <c r="J119" s="24">
        <v>422</v>
      </c>
      <c r="K119" s="23">
        <v>299</v>
      </c>
      <c r="L119" s="24">
        <v>0</v>
      </c>
      <c r="M119" s="23">
        <v>44</v>
      </c>
      <c r="N119" s="24">
        <v>615</v>
      </c>
      <c r="O119" s="23">
        <v>289</v>
      </c>
      <c r="P119" s="24">
        <v>600</v>
      </c>
      <c r="Q119" s="23">
        <v>288</v>
      </c>
      <c r="R119" s="24">
        <v>15</v>
      </c>
      <c r="S119" s="23">
        <v>31</v>
      </c>
      <c r="T119" s="24">
        <v>319</v>
      </c>
      <c r="U119" s="23">
        <v>191</v>
      </c>
      <c r="V119" s="24">
        <v>319</v>
      </c>
      <c r="W119" s="23">
        <v>191</v>
      </c>
      <c r="X119" s="24">
        <v>0</v>
      </c>
      <c r="Y119" s="20">
        <v>44</v>
      </c>
      <c r="Z119" s="19">
        <v>891</v>
      </c>
      <c r="AA119" s="23">
        <v>325</v>
      </c>
      <c r="AB119" s="24">
        <v>328</v>
      </c>
      <c r="AC119" s="23">
        <v>165</v>
      </c>
      <c r="AD119" s="24">
        <v>321</v>
      </c>
      <c r="AE119" s="23">
        <v>166</v>
      </c>
      <c r="AF119" s="24">
        <v>7</v>
      </c>
      <c r="AG119" s="23">
        <v>11</v>
      </c>
      <c r="AH119" s="24">
        <v>486</v>
      </c>
      <c r="AI119" s="23">
        <v>194</v>
      </c>
      <c r="AJ119" s="24">
        <v>449</v>
      </c>
      <c r="AK119" s="23">
        <v>172</v>
      </c>
      <c r="AL119" s="24">
        <v>37</v>
      </c>
      <c r="AM119" s="23">
        <v>40</v>
      </c>
      <c r="AN119" s="24">
        <v>77</v>
      </c>
      <c r="AO119" s="23">
        <v>58</v>
      </c>
      <c r="AP119" s="24">
        <v>77</v>
      </c>
      <c r="AQ119" s="23">
        <v>58</v>
      </c>
      <c r="AR119" s="24">
        <v>0</v>
      </c>
      <c r="AS119" s="20">
        <v>22</v>
      </c>
      <c r="AT119" s="19">
        <v>4260</v>
      </c>
      <c r="AU119" s="23">
        <v>831</v>
      </c>
      <c r="AV119" s="24">
        <v>1198</v>
      </c>
      <c r="AW119" s="23">
        <v>256</v>
      </c>
      <c r="AX119" s="24">
        <v>1198</v>
      </c>
      <c r="AY119" s="23">
        <v>256</v>
      </c>
      <c r="AZ119" s="24">
        <v>0</v>
      </c>
      <c r="BA119" s="23">
        <v>22</v>
      </c>
      <c r="BB119" s="24">
        <v>2465</v>
      </c>
      <c r="BC119" s="23">
        <v>554</v>
      </c>
      <c r="BD119" s="24">
        <v>2260</v>
      </c>
      <c r="BE119" s="23">
        <v>517</v>
      </c>
      <c r="BF119" s="24">
        <v>205</v>
      </c>
      <c r="BG119" s="23">
        <v>128</v>
      </c>
      <c r="BH119" s="24">
        <v>597</v>
      </c>
      <c r="BI119" s="23">
        <v>193</v>
      </c>
      <c r="BJ119" s="24">
        <v>515</v>
      </c>
      <c r="BK119" s="23">
        <v>154</v>
      </c>
      <c r="BL119" s="24">
        <v>82</v>
      </c>
      <c r="BM119" s="20">
        <v>108</v>
      </c>
      <c r="BN119" s="19">
        <v>20232</v>
      </c>
      <c r="BO119" s="23">
        <v>862</v>
      </c>
      <c r="BP119" s="24">
        <v>4669</v>
      </c>
      <c r="BQ119" s="23">
        <v>392</v>
      </c>
      <c r="BR119" s="24">
        <v>4655</v>
      </c>
      <c r="BS119" s="23">
        <v>394</v>
      </c>
      <c r="BT119" s="26">
        <v>14</v>
      </c>
      <c r="BU119" s="23">
        <v>22</v>
      </c>
      <c r="BV119" s="24">
        <v>12991</v>
      </c>
      <c r="BW119" s="23">
        <v>606</v>
      </c>
      <c r="BX119" s="24">
        <v>12786</v>
      </c>
      <c r="BY119" s="23">
        <v>599</v>
      </c>
      <c r="BZ119" s="24">
        <v>205</v>
      </c>
      <c r="CA119" s="23">
        <v>107</v>
      </c>
      <c r="CB119" s="24">
        <v>2572</v>
      </c>
      <c r="CC119" s="23">
        <v>261</v>
      </c>
      <c r="CD119" s="24">
        <v>2564</v>
      </c>
      <c r="CE119" s="23">
        <v>259</v>
      </c>
      <c r="CF119" s="24">
        <v>8</v>
      </c>
      <c r="CG119" s="20">
        <v>13</v>
      </c>
    </row>
    <row r="120" spans="1:85" x14ac:dyDescent="0.3">
      <c r="A120" t="s">
        <v>239</v>
      </c>
      <c r="B120">
        <v>20833</v>
      </c>
      <c r="C120" t="s">
        <v>240</v>
      </c>
      <c r="D120" s="19">
        <v>7492</v>
      </c>
      <c r="E120" s="20">
        <v>521</v>
      </c>
      <c r="F120" s="19">
        <v>237</v>
      </c>
      <c r="G120" s="23">
        <v>198</v>
      </c>
      <c r="H120" s="24">
        <v>24</v>
      </c>
      <c r="I120" s="23">
        <v>35</v>
      </c>
      <c r="J120" s="24">
        <v>24</v>
      </c>
      <c r="K120" s="23">
        <v>35</v>
      </c>
      <c r="L120" s="24">
        <v>0</v>
      </c>
      <c r="M120" s="23">
        <v>34</v>
      </c>
      <c r="N120" s="24">
        <v>169</v>
      </c>
      <c r="O120" s="23">
        <v>163</v>
      </c>
      <c r="P120" s="24">
        <v>140</v>
      </c>
      <c r="Q120" s="23">
        <v>157</v>
      </c>
      <c r="R120" s="24">
        <v>29</v>
      </c>
      <c r="S120" s="23">
        <v>43</v>
      </c>
      <c r="T120" s="24">
        <v>44</v>
      </c>
      <c r="U120" s="23">
        <v>53</v>
      </c>
      <c r="V120" s="24">
        <v>44</v>
      </c>
      <c r="W120" s="23">
        <v>53</v>
      </c>
      <c r="X120" s="24">
        <v>0</v>
      </c>
      <c r="Y120" s="20">
        <v>34</v>
      </c>
      <c r="Z120" s="19">
        <v>379</v>
      </c>
      <c r="AA120" s="23">
        <v>253</v>
      </c>
      <c r="AB120" s="24">
        <v>163</v>
      </c>
      <c r="AC120" s="23">
        <v>118</v>
      </c>
      <c r="AD120" s="24">
        <v>163</v>
      </c>
      <c r="AE120" s="23">
        <v>118</v>
      </c>
      <c r="AF120" s="24">
        <v>0</v>
      </c>
      <c r="AG120" s="23">
        <v>17</v>
      </c>
      <c r="AH120" s="24">
        <v>172</v>
      </c>
      <c r="AI120" s="23">
        <v>119</v>
      </c>
      <c r="AJ120" s="24">
        <v>114</v>
      </c>
      <c r="AK120" s="23">
        <v>104</v>
      </c>
      <c r="AL120" s="24">
        <v>58</v>
      </c>
      <c r="AM120" s="23">
        <v>69</v>
      </c>
      <c r="AN120" s="24">
        <v>44</v>
      </c>
      <c r="AO120" s="23">
        <v>52</v>
      </c>
      <c r="AP120" s="24">
        <v>44</v>
      </c>
      <c r="AQ120" s="23">
        <v>52</v>
      </c>
      <c r="AR120" s="24">
        <v>0</v>
      </c>
      <c r="AS120" s="20">
        <v>17</v>
      </c>
      <c r="AT120" s="19">
        <v>547</v>
      </c>
      <c r="AU120" s="23">
        <v>202</v>
      </c>
      <c r="AV120" s="24">
        <v>106</v>
      </c>
      <c r="AW120" s="23">
        <v>67</v>
      </c>
      <c r="AX120" s="24">
        <v>106</v>
      </c>
      <c r="AY120" s="23">
        <v>67</v>
      </c>
      <c r="AZ120" s="24">
        <v>0</v>
      </c>
      <c r="BA120" s="23">
        <v>17</v>
      </c>
      <c r="BB120" s="24">
        <v>234</v>
      </c>
      <c r="BC120" s="23">
        <v>105</v>
      </c>
      <c r="BD120" s="24">
        <v>214</v>
      </c>
      <c r="BE120" s="23">
        <v>96</v>
      </c>
      <c r="BF120" s="24">
        <v>20</v>
      </c>
      <c r="BG120" s="23">
        <v>29</v>
      </c>
      <c r="BH120" s="24">
        <v>207</v>
      </c>
      <c r="BI120" s="23">
        <v>99</v>
      </c>
      <c r="BJ120" s="24">
        <v>207</v>
      </c>
      <c r="BK120" s="23">
        <v>99</v>
      </c>
      <c r="BL120" s="24">
        <v>0</v>
      </c>
      <c r="BM120" s="20">
        <v>17</v>
      </c>
      <c r="BN120" s="19">
        <v>6329</v>
      </c>
      <c r="BO120" s="23">
        <v>500</v>
      </c>
      <c r="BP120" s="24">
        <v>1557</v>
      </c>
      <c r="BQ120" s="23">
        <v>240</v>
      </c>
      <c r="BR120" s="24">
        <v>1518</v>
      </c>
      <c r="BS120" s="23">
        <v>237</v>
      </c>
      <c r="BT120" s="26">
        <v>39</v>
      </c>
      <c r="BU120" s="23">
        <v>42</v>
      </c>
      <c r="BV120" s="24">
        <v>3843</v>
      </c>
      <c r="BW120" s="23">
        <v>317</v>
      </c>
      <c r="BX120" s="24">
        <v>3663</v>
      </c>
      <c r="BY120" s="23">
        <v>307</v>
      </c>
      <c r="BZ120" s="24">
        <v>180</v>
      </c>
      <c r="CA120" s="23">
        <v>88</v>
      </c>
      <c r="CB120" s="24">
        <v>929</v>
      </c>
      <c r="CC120" s="23">
        <v>204</v>
      </c>
      <c r="CD120" s="24">
        <v>929</v>
      </c>
      <c r="CE120" s="23">
        <v>204</v>
      </c>
      <c r="CF120" s="24">
        <v>0</v>
      </c>
      <c r="CG120" s="20">
        <v>17</v>
      </c>
    </row>
    <row r="121" spans="1:85" x14ac:dyDescent="0.3">
      <c r="A121" t="s">
        <v>241</v>
      </c>
      <c r="B121">
        <v>20837</v>
      </c>
      <c r="C121" t="s">
        <v>242</v>
      </c>
      <c r="D121" s="19">
        <v>6251</v>
      </c>
      <c r="E121" s="20">
        <v>305</v>
      </c>
      <c r="F121" s="19">
        <v>313</v>
      </c>
      <c r="G121" s="23">
        <v>192</v>
      </c>
      <c r="H121" s="24">
        <v>60</v>
      </c>
      <c r="I121" s="23">
        <v>81</v>
      </c>
      <c r="J121" s="24">
        <v>60</v>
      </c>
      <c r="K121" s="23">
        <v>81</v>
      </c>
      <c r="L121" s="24">
        <v>0</v>
      </c>
      <c r="M121" s="23">
        <v>34</v>
      </c>
      <c r="N121" s="24">
        <v>147</v>
      </c>
      <c r="O121" s="23">
        <v>105</v>
      </c>
      <c r="P121" s="24">
        <v>123</v>
      </c>
      <c r="Q121" s="23">
        <v>103</v>
      </c>
      <c r="R121" s="24">
        <v>24</v>
      </c>
      <c r="S121" s="23">
        <v>51</v>
      </c>
      <c r="T121" s="24">
        <v>106</v>
      </c>
      <c r="U121" s="23">
        <v>107</v>
      </c>
      <c r="V121" s="24">
        <v>106</v>
      </c>
      <c r="W121" s="23">
        <v>107</v>
      </c>
      <c r="X121" s="24">
        <v>0</v>
      </c>
      <c r="Y121" s="20">
        <v>34</v>
      </c>
      <c r="Z121" s="19">
        <v>49</v>
      </c>
      <c r="AA121" s="23">
        <v>82</v>
      </c>
      <c r="AB121" s="24">
        <v>0</v>
      </c>
      <c r="AC121" s="23">
        <v>17</v>
      </c>
      <c r="AD121" s="24">
        <v>0</v>
      </c>
      <c r="AE121" s="23">
        <v>17</v>
      </c>
      <c r="AF121" s="24">
        <v>0</v>
      </c>
      <c r="AG121" s="23">
        <v>17</v>
      </c>
      <c r="AH121" s="24">
        <v>49</v>
      </c>
      <c r="AI121" s="23">
        <v>82</v>
      </c>
      <c r="AJ121" s="24">
        <v>34</v>
      </c>
      <c r="AK121" s="23">
        <v>58</v>
      </c>
      <c r="AL121" s="24">
        <v>15</v>
      </c>
      <c r="AM121" s="23">
        <v>24</v>
      </c>
      <c r="AN121" s="24">
        <v>0</v>
      </c>
      <c r="AO121" s="23">
        <v>17</v>
      </c>
      <c r="AP121" s="24">
        <v>0</v>
      </c>
      <c r="AQ121" s="23">
        <v>17</v>
      </c>
      <c r="AR121" s="24">
        <v>0</v>
      </c>
      <c r="AS121" s="20">
        <v>17</v>
      </c>
      <c r="AT121" s="19">
        <v>1139</v>
      </c>
      <c r="AU121" s="23">
        <v>390</v>
      </c>
      <c r="AV121" s="24">
        <v>356</v>
      </c>
      <c r="AW121" s="23">
        <v>181</v>
      </c>
      <c r="AX121" s="24">
        <v>356</v>
      </c>
      <c r="AY121" s="23">
        <v>181</v>
      </c>
      <c r="AZ121" s="24">
        <v>0</v>
      </c>
      <c r="BA121" s="23">
        <v>17</v>
      </c>
      <c r="BB121" s="24">
        <v>735</v>
      </c>
      <c r="BC121" s="23">
        <v>239</v>
      </c>
      <c r="BD121" s="24">
        <v>638</v>
      </c>
      <c r="BE121" s="23">
        <v>223</v>
      </c>
      <c r="BF121" s="24">
        <v>97</v>
      </c>
      <c r="BG121" s="23">
        <v>81</v>
      </c>
      <c r="BH121" s="24">
        <v>48</v>
      </c>
      <c r="BI121" s="23">
        <v>42</v>
      </c>
      <c r="BJ121" s="24">
        <v>48</v>
      </c>
      <c r="BK121" s="23">
        <v>42</v>
      </c>
      <c r="BL121" s="24">
        <v>0</v>
      </c>
      <c r="BM121" s="20">
        <v>17</v>
      </c>
      <c r="BN121" s="19">
        <v>4750</v>
      </c>
      <c r="BO121" s="23">
        <v>528</v>
      </c>
      <c r="BP121" s="24">
        <v>1326</v>
      </c>
      <c r="BQ121" s="23">
        <v>257</v>
      </c>
      <c r="BR121" s="24">
        <v>1326</v>
      </c>
      <c r="BS121" s="23">
        <v>257</v>
      </c>
      <c r="BT121" s="26">
        <v>0</v>
      </c>
      <c r="BU121" s="23">
        <v>17</v>
      </c>
      <c r="BV121" s="24">
        <v>2987</v>
      </c>
      <c r="BW121" s="23">
        <v>340</v>
      </c>
      <c r="BX121" s="24">
        <v>2929</v>
      </c>
      <c r="BY121" s="23">
        <v>328</v>
      </c>
      <c r="BZ121" s="24">
        <v>58</v>
      </c>
      <c r="CA121" s="23">
        <v>68</v>
      </c>
      <c r="CB121" s="24">
        <v>437</v>
      </c>
      <c r="CC121" s="23">
        <v>130</v>
      </c>
      <c r="CD121" s="24">
        <v>437</v>
      </c>
      <c r="CE121" s="23">
        <v>130</v>
      </c>
      <c r="CF121" s="24">
        <v>0</v>
      </c>
      <c r="CG121" s="20">
        <v>17</v>
      </c>
    </row>
    <row r="122" spans="1:85" x14ac:dyDescent="0.3">
      <c r="A122" t="s">
        <v>243</v>
      </c>
      <c r="B122">
        <v>20838</v>
      </c>
      <c r="C122" t="s">
        <v>244</v>
      </c>
      <c r="D122" s="19">
        <v>234</v>
      </c>
      <c r="E122" s="20">
        <v>58</v>
      </c>
      <c r="F122" s="19">
        <v>11</v>
      </c>
      <c r="G122" s="23">
        <v>14</v>
      </c>
      <c r="H122" s="24">
        <v>0</v>
      </c>
      <c r="I122" s="23">
        <v>24</v>
      </c>
      <c r="J122" s="24">
        <v>0</v>
      </c>
      <c r="K122" s="23">
        <v>24</v>
      </c>
      <c r="L122" s="24">
        <v>0</v>
      </c>
      <c r="M122" s="23">
        <v>24</v>
      </c>
      <c r="N122" s="24">
        <v>9</v>
      </c>
      <c r="O122" s="23">
        <v>12</v>
      </c>
      <c r="P122" s="24">
        <v>5</v>
      </c>
      <c r="Q122" s="23">
        <v>19</v>
      </c>
      <c r="R122" s="24">
        <v>4</v>
      </c>
      <c r="S122" s="23">
        <v>17</v>
      </c>
      <c r="T122" s="24">
        <v>2</v>
      </c>
      <c r="U122" s="23">
        <v>15</v>
      </c>
      <c r="V122" s="24">
        <v>2</v>
      </c>
      <c r="W122" s="23">
        <v>15</v>
      </c>
      <c r="X122" s="24">
        <v>0</v>
      </c>
      <c r="Y122" s="20">
        <v>24</v>
      </c>
      <c r="Z122" s="19">
        <v>0</v>
      </c>
      <c r="AA122" s="23">
        <v>12</v>
      </c>
      <c r="AB122" s="24">
        <v>0</v>
      </c>
      <c r="AC122" s="23">
        <v>12</v>
      </c>
      <c r="AD122" s="24">
        <v>0</v>
      </c>
      <c r="AE122" s="23">
        <v>12</v>
      </c>
      <c r="AF122" s="24">
        <v>0</v>
      </c>
      <c r="AG122" s="23">
        <v>12</v>
      </c>
      <c r="AH122" s="24">
        <v>0</v>
      </c>
      <c r="AI122" s="23">
        <v>12</v>
      </c>
      <c r="AJ122" s="24">
        <v>0</v>
      </c>
      <c r="AK122" s="23">
        <v>12</v>
      </c>
      <c r="AL122" s="24">
        <v>0</v>
      </c>
      <c r="AM122" s="23">
        <v>12</v>
      </c>
      <c r="AN122" s="24">
        <v>0</v>
      </c>
      <c r="AO122" s="23">
        <v>12</v>
      </c>
      <c r="AP122" s="24">
        <v>0</v>
      </c>
      <c r="AQ122" s="23">
        <v>12</v>
      </c>
      <c r="AR122" s="24">
        <v>0</v>
      </c>
      <c r="AS122" s="20">
        <v>12</v>
      </c>
      <c r="AT122" s="19">
        <v>15</v>
      </c>
      <c r="AU122" s="23">
        <v>14</v>
      </c>
      <c r="AV122" s="24">
        <v>0</v>
      </c>
      <c r="AW122" s="23">
        <v>12</v>
      </c>
      <c r="AX122" s="24">
        <v>0</v>
      </c>
      <c r="AY122" s="23">
        <v>12</v>
      </c>
      <c r="AZ122" s="24">
        <v>0</v>
      </c>
      <c r="BA122" s="23">
        <v>12</v>
      </c>
      <c r="BB122" s="24">
        <v>8</v>
      </c>
      <c r="BC122" s="23">
        <v>6</v>
      </c>
      <c r="BD122" s="24">
        <v>8</v>
      </c>
      <c r="BE122" s="23">
        <v>6</v>
      </c>
      <c r="BF122" s="24">
        <v>0</v>
      </c>
      <c r="BG122" s="23">
        <v>12</v>
      </c>
      <c r="BH122" s="24">
        <v>7</v>
      </c>
      <c r="BI122" s="23">
        <v>9</v>
      </c>
      <c r="BJ122" s="24">
        <v>7</v>
      </c>
      <c r="BK122" s="23">
        <v>9</v>
      </c>
      <c r="BL122" s="24">
        <v>0</v>
      </c>
      <c r="BM122" s="20">
        <v>12</v>
      </c>
      <c r="BN122" s="19">
        <v>208</v>
      </c>
      <c r="BO122" s="23">
        <v>60</v>
      </c>
      <c r="BP122" s="24">
        <v>32</v>
      </c>
      <c r="BQ122" s="23">
        <v>20</v>
      </c>
      <c r="BR122" s="24">
        <v>30</v>
      </c>
      <c r="BS122" s="23">
        <v>20</v>
      </c>
      <c r="BT122" s="26">
        <v>2</v>
      </c>
      <c r="BU122" s="23">
        <v>3</v>
      </c>
      <c r="BV122" s="24">
        <v>133</v>
      </c>
      <c r="BW122" s="23">
        <v>44</v>
      </c>
      <c r="BX122" s="24">
        <v>133</v>
      </c>
      <c r="BY122" s="23">
        <v>44</v>
      </c>
      <c r="BZ122" s="24">
        <v>0</v>
      </c>
      <c r="CA122" s="23">
        <v>12</v>
      </c>
      <c r="CB122" s="24">
        <v>43</v>
      </c>
      <c r="CC122" s="23">
        <v>23</v>
      </c>
      <c r="CD122" s="24">
        <v>43</v>
      </c>
      <c r="CE122" s="23">
        <v>23</v>
      </c>
      <c r="CF122" s="24">
        <v>0</v>
      </c>
      <c r="CG122" s="20">
        <v>12</v>
      </c>
    </row>
    <row r="123" spans="1:85" x14ac:dyDescent="0.3">
      <c r="A123" t="s">
        <v>245</v>
      </c>
      <c r="B123">
        <v>20839</v>
      </c>
      <c r="C123" t="s">
        <v>246</v>
      </c>
      <c r="D123" s="19">
        <v>100</v>
      </c>
      <c r="E123" s="20">
        <v>124</v>
      </c>
      <c r="F123" s="19">
        <v>3</v>
      </c>
      <c r="G123" s="23">
        <v>18</v>
      </c>
      <c r="H123" s="24">
        <v>3</v>
      </c>
      <c r="I123" s="23">
        <v>18</v>
      </c>
      <c r="J123" s="24">
        <v>0</v>
      </c>
      <c r="K123" s="23">
        <v>24</v>
      </c>
      <c r="L123" s="24">
        <v>3</v>
      </c>
      <c r="M123" s="23">
        <v>18</v>
      </c>
      <c r="N123" s="24">
        <v>0</v>
      </c>
      <c r="O123" s="23">
        <v>24</v>
      </c>
      <c r="P123" s="24">
        <v>0</v>
      </c>
      <c r="Q123" s="23">
        <v>24</v>
      </c>
      <c r="R123" s="24">
        <v>0</v>
      </c>
      <c r="S123" s="23">
        <v>24</v>
      </c>
      <c r="T123" s="24">
        <v>0</v>
      </c>
      <c r="U123" s="23">
        <v>24</v>
      </c>
      <c r="V123" s="24">
        <v>0</v>
      </c>
      <c r="W123" s="23">
        <v>24</v>
      </c>
      <c r="X123" s="24">
        <v>0</v>
      </c>
      <c r="Y123" s="20">
        <v>24</v>
      </c>
      <c r="Z123" s="19">
        <v>0</v>
      </c>
      <c r="AA123" s="23">
        <v>12</v>
      </c>
      <c r="AB123" s="24">
        <v>0</v>
      </c>
      <c r="AC123" s="23">
        <v>12</v>
      </c>
      <c r="AD123" s="24">
        <v>0</v>
      </c>
      <c r="AE123" s="23">
        <v>12</v>
      </c>
      <c r="AF123" s="24">
        <v>0</v>
      </c>
      <c r="AG123" s="23">
        <v>12</v>
      </c>
      <c r="AH123" s="24">
        <v>0</v>
      </c>
      <c r="AI123" s="23">
        <v>12</v>
      </c>
      <c r="AJ123" s="24">
        <v>0</v>
      </c>
      <c r="AK123" s="23">
        <v>12</v>
      </c>
      <c r="AL123" s="24">
        <v>0</v>
      </c>
      <c r="AM123" s="23">
        <v>12</v>
      </c>
      <c r="AN123" s="24">
        <v>0</v>
      </c>
      <c r="AO123" s="23">
        <v>12</v>
      </c>
      <c r="AP123" s="24">
        <v>0</v>
      </c>
      <c r="AQ123" s="23">
        <v>12</v>
      </c>
      <c r="AR123" s="24">
        <v>0</v>
      </c>
      <c r="AS123" s="20">
        <v>12</v>
      </c>
      <c r="AT123" s="19">
        <v>5</v>
      </c>
      <c r="AU123" s="23">
        <v>8</v>
      </c>
      <c r="AV123" s="24">
        <v>0</v>
      </c>
      <c r="AW123" s="23">
        <v>12</v>
      </c>
      <c r="AX123" s="24">
        <v>0</v>
      </c>
      <c r="AY123" s="23">
        <v>12</v>
      </c>
      <c r="AZ123" s="24">
        <v>0</v>
      </c>
      <c r="BA123" s="23">
        <v>12</v>
      </c>
      <c r="BB123" s="24">
        <v>5</v>
      </c>
      <c r="BC123" s="23">
        <v>8</v>
      </c>
      <c r="BD123" s="24">
        <v>5</v>
      </c>
      <c r="BE123" s="23">
        <v>8</v>
      </c>
      <c r="BF123" s="24">
        <v>0</v>
      </c>
      <c r="BG123" s="23">
        <v>12</v>
      </c>
      <c r="BH123" s="24">
        <v>0</v>
      </c>
      <c r="BI123" s="23">
        <v>12</v>
      </c>
      <c r="BJ123" s="24">
        <v>0</v>
      </c>
      <c r="BK123" s="23">
        <v>12</v>
      </c>
      <c r="BL123" s="24">
        <v>0</v>
      </c>
      <c r="BM123" s="20">
        <v>12</v>
      </c>
      <c r="BN123" s="19">
        <v>92</v>
      </c>
      <c r="BO123" s="23">
        <v>121</v>
      </c>
      <c r="BP123" s="24">
        <v>55</v>
      </c>
      <c r="BQ123" s="23">
        <v>74</v>
      </c>
      <c r="BR123" s="24">
        <v>55</v>
      </c>
      <c r="BS123" s="23">
        <v>74</v>
      </c>
      <c r="BT123" s="26">
        <v>0</v>
      </c>
      <c r="BU123" s="23">
        <v>12</v>
      </c>
      <c r="BV123" s="24">
        <v>37</v>
      </c>
      <c r="BW123" s="23">
        <v>48</v>
      </c>
      <c r="BX123" s="24">
        <v>37</v>
      </c>
      <c r="BY123" s="23">
        <v>48</v>
      </c>
      <c r="BZ123" s="24">
        <v>0</v>
      </c>
      <c r="CA123" s="23">
        <v>12</v>
      </c>
      <c r="CB123" s="24">
        <v>0</v>
      </c>
      <c r="CC123" s="23">
        <v>12</v>
      </c>
      <c r="CD123" s="24">
        <v>0</v>
      </c>
      <c r="CE123" s="23">
        <v>12</v>
      </c>
      <c r="CF123" s="24">
        <v>0</v>
      </c>
      <c r="CG123" s="20">
        <v>12</v>
      </c>
    </row>
    <row r="124" spans="1:85" x14ac:dyDescent="0.3">
      <c r="A124" t="s">
        <v>247</v>
      </c>
      <c r="B124">
        <v>20841</v>
      </c>
      <c r="C124" t="s">
        <v>248</v>
      </c>
      <c r="D124" s="19">
        <v>10177</v>
      </c>
      <c r="E124" s="20">
        <v>701</v>
      </c>
      <c r="F124" s="19">
        <v>571</v>
      </c>
      <c r="G124" s="23">
        <v>322</v>
      </c>
      <c r="H124" s="24">
        <v>166</v>
      </c>
      <c r="I124" s="23">
        <v>182</v>
      </c>
      <c r="J124" s="24">
        <v>154</v>
      </c>
      <c r="K124" s="23">
        <v>165</v>
      </c>
      <c r="L124" s="24">
        <v>12</v>
      </c>
      <c r="M124" s="23">
        <v>38</v>
      </c>
      <c r="N124" s="24">
        <v>299</v>
      </c>
      <c r="O124" s="23">
        <v>182</v>
      </c>
      <c r="P124" s="24">
        <v>227</v>
      </c>
      <c r="Q124" s="23">
        <v>130</v>
      </c>
      <c r="R124" s="24">
        <v>72</v>
      </c>
      <c r="S124" s="23">
        <v>127</v>
      </c>
      <c r="T124" s="24">
        <v>106</v>
      </c>
      <c r="U124" s="23">
        <v>92</v>
      </c>
      <c r="V124" s="24">
        <v>85</v>
      </c>
      <c r="W124" s="23">
        <v>85</v>
      </c>
      <c r="X124" s="24">
        <v>21</v>
      </c>
      <c r="Y124" s="20">
        <v>53</v>
      </c>
      <c r="Z124" s="19">
        <v>283</v>
      </c>
      <c r="AA124" s="23">
        <v>208</v>
      </c>
      <c r="AB124" s="24">
        <v>56</v>
      </c>
      <c r="AC124" s="23">
        <v>66</v>
      </c>
      <c r="AD124" s="24">
        <v>56</v>
      </c>
      <c r="AE124" s="23">
        <v>66</v>
      </c>
      <c r="AF124" s="24">
        <v>0</v>
      </c>
      <c r="AG124" s="23">
        <v>19</v>
      </c>
      <c r="AH124" s="24">
        <v>170</v>
      </c>
      <c r="AI124" s="23">
        <v>124</v>
      </c>
      <c r="AJ124" s="24">
        <v>150</v>
      </c>
      <c r="AK124" s="23">
        <v>109</v>
      </c>
      <c r="AL124" s="24">
        <v>20</v>
      </c>
      <c r="AM124" s="23">
        <v>30</v>
      </c>
      <c r="AN124" s="24">
        <v>57</v>
      </c>
      <c r="AO124" s="23">
        <v>52</v>
      </c>
      <c r="AP124" s="24">
        <v>57</v>
      </c>
      <c r="AQ124" s="23">
        <v>52</v>
      </c>
      <c r="AR124" s="24">
        <v>0</v>
      </c>
      <c r="AS124" s="20">
        <v>19</v>
      </c>
      <c r="AT124" s="19">
        <v>1787</v>
      </c>
      <c r="AU124" s="23">
        <v>505</v>
      </c>
      <c r="AV124" s="24">
        <v>739</v>
      </c>
      <c r="AW124" s="23">
        <v>267</v>
      </c>
      <c r="AX124" s="24">
        <v>739</v>
      </c>
      <c r="AY124" s="23">
        <v>267</v>
      </c>
      <c r="AZ124" s="24">
        <v>0</v>
      </c>
      <c r="BA124" s="23">
        <v>19</v>
      </c>
      <c r="BB124" s="24">
        <v>810</v>
      </c>
      <c r="BC124" s="23">
        <v>249</v>
      </c>
      <c r="BD124" s="24">
        <v>736</v>
      </c>
      <c r="BE124" s="23">
        <v>211</v>
      </c>
      <c r="BF124" s="24">
        <v>74</v>
      </c>
      <c r="BG124" s="23">
        <v>64</v>
      </c>
      <c r="BH124" s="24">
        <v>238</v>
      </c>
      <c r="BI124" s="23">
        <v>109</v>
      </c>
      <c r="BJ124" s="24">
        <v>221</v>
      </c>
      <c r="BK124" s="23">
        <v>108</v>
      </c>
      <c r="BL124" s="24">
        <v>17</v>
      </c>
      <c r="BM124" s="20">
        <v>27</v>
      </c>
      <c r="BN124" s="19">
        <v>7536</v>
      </c>
      <c r="BO124" s="23">
        <v>681</v>
      </c>
      <c r="BP124" s="24">
        <v>2155</v>
      </c>
      <c r="BQ124" s="23">
        <v>344</v>
      </c>
      <c r="BR124" s="24">
        <v>2144</v>
      </c>
      <c r="BS124" s="23">
        <v>345</v>
      </c>
      <c r="BT124" s="26">
        <v>11</v>
      </c>
      <c r="BU124" s="23">
        <v>17</v>
      </c>
      <c r="BV124" s="24">
        <v>4541</v>
      </c>
      <c r="BW124" s="23">
        <v>368</v>
      </c>
      <c r="BX124" s="24">
        <v>4461</v>
      </c>
      <c r="BY124" s="23">
        <v>373</v>
      </c>
      <c r="BZ124" s="24">
        <v>80</v>
      </c>
      <c r="CA124" s="23">
        <v>54</v>
      </c>
      <c r="CB124" s="24">
        <v>840</v>
      </c>
      <c r="CC124" s="23">
        <v>188</v>
      </c>
      <c r="CD124" s="24">
        <v>826</v>
      </c>
      <c r="CE124" s="23">
        <v>188</v>
      </c>
      <c r="CF124" s="24">
        <v>14</v>
      </c>
      <c r="CG124" s="20">
        <v>25</v>
      </c>
    </row>
    <row r="125" spans="1:85" x14ac:dyDescent="0.3">
      <c r="A125" t="s">
        <v>249</v>
      </c>
      <c r="B125">
        <v>20842</v>
      </c>
      <c r="C125" t="s">
        <v>250</v>
      </c>
      <c r="D125" s="19">
        <v>1756</v>
      </c>
      <c r="E125" s="20">
        <v>262</v>
      </c>
      <c r="F125" s="19">
        <v>122</v>
      </c>
      <c r="G125" s="23">
        <v>88</v>
      </c>
      <c r="H125" s="24">
        <v>11</v>
      </c>
      <c r="I125" s="23">
        <v>27</v>
      </c>
      <c r="J125" s="24">
        <v>5</v>
      </c>
      <c r="K125" s="23">
        <v>20</v>
      </c>
      <c r="L125" s="24">
        <v>6</v>
      </c>
      <c r="M125" s="23">
        <v>20</v>
      </c>
      <c r="N125" s="24">
        <v>68</v>
      </c>
      <c r="O125" s="23">
        <v>53</v>
      </c>
      <c r="P125" s="24">
        <v>61</v>
      </c>
      <c r="Q125" s="23">
        <v>46</v>
      </c>
      <c r="R125" s="24">
        <v>7</v>
      </c>
      <c r="S125" s="23">
        <v>22</v>
      </c>
      <c r="T125" s="24">
        <v>43</v>
      </c>
      <c r="U125" s="23">
        <v>46</v>
      </c>
      <c r="V125" s="24">
        <v>43</v>
      </c>
      <c r="W125" s="23">
        <v>46</v>
      </c>
      <c r="X125" s="24">
        <v>0</v>
      </c>
      <c r="Y125" s="20">
        <v>24</v>
      </c>
      <c r="Z125" s="19">
        <v>47</v>
      </c>
      <c r="AA125" s="23">
        <v>36</v>
      </c>
      <c r="AB125" s="24">
        <v>0</v>
      </c>
      <c r="AC125" s="23">
        <v>12</v>
      </c>
      <c r="AD125" s="24">
        <v>0</v>
      </c>
      <c r="AE125" s="23">
        <v>12</v>
      </c>
      <c r="AF125" s="24">
        <v>0</v>
      </c>
      <c r="AG125" s="23">
        <v>12</v>
      </c>
      <c r="AH125" s="24">
        <v>41</v>
      </c>
      <c r="AI125" s="23">
        <v>35</v>
      </c>
      <c r="AJ125" s="24">
        <v>21</v>
      </c>
      <c r="AK125" s="23">
        <v>22</v>
      </c>
      <c r="AL125" s="24">
        <v>20</v>
      </c>
      <c r="AM125" s="23">
        <v>25</v>
      </c>
      <c r="AN125" s="24">
        <v>6</v>
      </c>
      <c r="AO125" s="23">
        <v>8</v>
      </c>
      <c r="AP125" s="24">
        <v>6</v>
      </c>
      <c r="AQ125" s="23">
        <v>8</v>
      </c>
      <c r="AR125" s="24">
        <v>0</v>
      </c>
      <c r="AS125" s="20">
        <v>12</v>
      </c>
      <c r="AT125" s="19">
        <v>424</v>
      </c>
      <c r="AU125" s="23">
        <v>165</v>
      </c>
      <c r="AV125" s="24">
        <v>47</v>
      </c>
      <c r="AW125" s="23">
        <v>49</v>
      </c>
      <c r="AX125" s="24">
        <v>47</v>
      </c>
      <c r="AY125" s="23">
        <v>49</v>
      </c>
      <c r="AZ125" s="24">
        <v>0</v>
      </c>
      <c r="BA125" s="23">
        <v>12</v>
      </c>
      <c r="BB125" s="24">
        <v>262</v>
      </c>
      <c r="BC125" s="23">
        <v>115</v>
      </c>
      <c r="BD125" s="24">
        <v>236</v>
      </c>
      <c r="BE125" s="23">
        <v>110</v>
      </c>
      <c r="BF125" s="24">
        <v>26</v>
      </c>
      <c r="BG125" s="23">
        <v>23</v>
      </c>
      <c r="BH125" s="24">
        <v>115</v>
      </c>
      <c r="BI125" s="23">
        <v>95</v>
      </c>
      <c r="BJ125" s="24">
        <v>115</v>
      </c>
      <c r="BK125" s="23">
        <v>95</v>
      </c>
      <c r="BL125" s="24">
        <v>0</v>
      </c>
      <c r="BM125" s="20">
        <v>12</v>
      </c>
      <c r="BN125" s="19">
        <v>1163</v>
      </c>
      <c r="BO125" s="23">
        <v>239</v>
      </c>
      <c r="BP125" s="24">
        <v>172</v>
      </c>
      <c r="BQ125" s="23">
        <v>82</v>
      </c>
      <c r="BR125" s="24">
        <v>157</v>
      </c>
      <c r="BS125" s="23">
        <v>79</v>
      </c>
      <c r="BT125" s="26">
        <v>15</v>
      </c>
      <c r="BU125" s="23">
        <v>24</v>
      </c>
      <c r="BV125" s="24">
        <v>751</v>
      </c>
      <c r="BW125" s="23">
        <v>181</v>
      </c>
      <c r="BX125" s="24">
        <v>716</v>
      </c>
      <c r="BY125" s="23">
        <v>178</v>
      </c>
      <c r="BZ125" s="24">
        <v>35</v>
      </c>
      <c r="CA125" s="23">
        <v>34</v>
      </c>
      <c r="CB125" s="24">
        <v>240</v>
      </c>
      <c r="CC125" s="23">
        <v>80</v>
      </c>
      <c r="CD125" s="24">
        <v>240</v>
      </c>
      <c r="CE125" s="23">
        <v>80</v>
      </c>
      <c r="CF125" s="24">
        <v>0</v>
      </c>
      <c r="CG125" s="20">
        <v>12</v>
      </c>
    </row>
    <row r="126" spans="1:85" x14ac:dyDescent="0.3">
      <c r="A126" t="s">
        <v>251</v>
      </c>
      <c r="B126">
        <v>20850</v>
      </c>
      <c r="C126" t="s">
        <v>252</v>
      </c>
      <c r="D126" s="19">
        <v>49362</v>
      </c>
      <c r="E126" s="20">
        <v>1098</v>
      </c>
      <c r="F126" s="19">
        <v>4870</v>
      </c>
      <c r="G126" s="23">
        <v>1095</v>
      </c>
      <c r="H126" s="24">
        <v>1120</v>
      </c>
      <c r="I126" s="23">
        <v>482</v>
      </c>
      <c r="J126" s="24">
        <v>1053</v>
      </c>
      <c r="K126" s="23">
        <v>482</v>
      </c>
      <c r="L126" s="24">
        <v>67</v>
      </c>
      <c r="M126" s="23">
        <v>92</v>
      </c>
      <c r="N126" s="24">
        <v>2646</v>
      </c>
      <c r="O126" s="23">
        <v>597</v>
      </c>
      <c r="P126" s="24">
        <v>2242</v>
      </c>
      <c r="Q126" s="23">
        <v>572</v>
      </c>
      <c r="R126" s="24">
        <v>404</v>
      </c>
      <c r="S126" s="23">
        <v>215</v>
      </c>
      <c r="T126" s="24">
        <v>1104</v>
      </c>
      <c r="U126" s="23">
        <v>330</v>
      </c>
      <c r="V126" s="24">
        <v>1016</v>
      </c>
      <c r="W126" s="23">
        <v>317</v>
      </c>
      <c r="X126" s="24">
        <v>88</v>
      </c>
      <c r="Y126" s="20">
        <v>93</v>
      </c>
      <c r="Z126" s="19">
        <v>2057</v>
      </c>
      <c r="AA126" s="23">
        <v>578</v>
      </c>
      <c r="AB126" s="24">
        <v>561</v>
      </c>
      <c r="AC126" s="23">
        <v>304</v>
      </c>
      <c r="AD126" s="24">
        <v>561</v>
      </c>
      <c r="AE126" s="23">
        <v>304</v>
      </c>
      <c r="AF126" s="24">
        <v>0</v>
      </c>
      <c r="AG126" s="23">
        <v>28</v>
      </c>
      <c r="AH126" s="24">
        <v>1100</v>
      </c>
      <c r="AI126" s="23">
        <v>306</v>
      </c>
      <c r="AJ126" s="24">
        <v>779</v>
      </c>
      <c r="AK126" s="23">
        <v>285</v>
      </c>
      <c r="AL126" s="24">
        <v>321</v>
      </c>
      <c r="AM126" s="23">
        <v>147</v>
      </c>
      <c r="AN126" s="24">
        <v>396</v>
      </c>
      <c r="AO126" s="23">
        <v>123</v>
      </c>
      <c r="AP126" s="24">
        <v>396</v>
      </c>
      <c r="AQ126" s="23">
        <v>123</v>
      </c>
      <c r="AR126" s="24">
        <v>0</v>
      </c>
      <c r="AS126" s="20">
        <v>28</v>
      </c>
      <c r="AT126" s="19">
        <v>10002</v>
      </c>
      <c r="AU126" s="23">
        <v>1010</v>
      </c>
      <c r="AV126" s="24">
        <v>2518</v>
      </c>
      <c r="AW126" s="23">
        <v>402</v>
      </c>
      <c r="AX126" s="24">
        <v>2417</v>
      </c>
      <c r="AY126" s="23">
        <v>412</v>
      </c>
      <c r="AZ126" s="24">
        <v>101</v>
      </c>
      <c r="BA126" s="23">
        <v>106</v>
      </c>
      <c r="BB126" s="24">
        <v>6269</v>
      </c>
      <c r="BC126" s="23">
        <v>721</v>
      </c>
      <c r="BD126" s="24">
        <v>5350</v>
      </c>
      <c r="BE126" s="23">
        <v>624</v>
      </c>
      <c r="BF126" s="24">
        <v>919</v>
      </c>
      <c r="BG126" s="23">
        <v>259</v>
      </c>
      <c r="BH126" s="24">
        <v>1215</v>
      </c>
      <c r="BI126" s="23">
        <v>264</v>
      </c>
      <c r="BJ126" s="24">
        <v>1176</v>
      </c>
      <c r="BK126" s="23">
        <v>253</v>
      </c>
      <c r="BL126" s="24">
        <v>39</v>
      </c>
      <c r="BM126" s="20">
        <v>44</v>
      </c>
      <c r="BN126" s="19">
        <v>32433</v>
      </c>
      <c r="BO126" s="23">
        <v>1212</v>
      </c>
      <c r="BP126" s="24">
        <v>6722</v>
      </c>
      <c r="BQ126" s="23">
        <v>508</v>
      </c>
      <c r="BR126" s="24">
        <v>6621</v>
      </c>
      <c r="BS126" s="23">
        <v>509</v>
      </c>
      <c r="BT126" s="26">
        <v>101</v>
      </c>
      <c r="BU126" s="23">
        <v>71</v>
      </c>
      <c r="BV126" s="24">
        <v>21136</v>
      </c>
      <c r="BW126" s="23">
        <v>881</v>
      </c>
      <c r="BX126" s="24">
        <v>20452</v>
      </c>
      <c r="BY126" s="23">
        <v>835</v>
      </c>
      <c r="BZ126" s="24">
        <v>684</v>
      </c>
      <c r="CA126" s="23">
        <v>197</v>
      </c>
      <c r="CB126" s="24">
        <v>4575</v>
      </c>
      <c r="CC126" s="23">
        <v>367</v>
      </c>
      <c r="CD126" s="24">
        <v>4520</v>
      </c>
      <c r="CE126" s="23">
        <v>370</v>
      </c>
      <c r="CF126" s="24">
        <v>55</v>
      </c>
      <c r="CG126" s="20">
        <v>64</v>
      </c>
    </row>
    <row r="127" spans="1:85" x14ac:dyDescent="0.3">
      <c r="A127" t="s">
        <v>253</v>
      </c>
      <c r="B127">
        <v>20851</v>
      </c>
      <c r="C127" t="s">
        <v>254</v>
      </c>
      <c r="D127" s="19">
        <v>14965</v>
      </c>
      <c r="E127" s="20">
        <v>986</v>
      </c>
      <c r="F127" s="19">
        <v>2826</v>
      </c>
      <c r="G127" s="23">
        <v>1237</v>
      </c>
      <c r="H127" s="24">
        <v>1148</v>
      </c>
      <c r="I127" s="23">
        <v>630</v>
      </c>
      <c r="J127" s="24">
        <v>937</v>
      </c>
      <c r="K127" s="23">
        <v>575</v>
      </c>
      <c r="L127" s="24">
        <v>211</v>
      </c>
      <c r="M127" s="23">
        <v>230</v>
      </c>
      <c r="N127" s="24">
        <v>1532</v>
      </c>
      <c r="O127" s="23">
        <v>690</v>
      </c>
      <c r="P127" s="24">
        <v>589</v>
      </c>
      <c r="Q127" s="23">
        <v>297</v>
      </c>
      <c r="R127" s="24">
        <v>943</v>
      </c>
      <c r="S127" s="23">
        <v>665</v>
      </c>
      <c r="T127" s="24">
        <v>146</v>
      </c>
      <c r="U127" s="23">
        <v>121</v>
      </c>
      <c r="V127" s="24">
        <v>81</v>
      </c>
      <c r="W127" s="23">
        <v>77</v>
      </c>
      <c r="X127" s="24">
        <v>65</v>
      </c>
      <c r="Y127" s="20">
        <v>83</v>
      </c>
      <c r="Z127" s="19">
        <v>1032</v>
      </c>
      <c r="AA127" s="23">
        <v>387</v>
      </c>
      <c r="AB127" s="24">
        <v>242</v>
      </c>
      <c r="AC127" s="23">
        <v>157</v>
      </c>
      <c r="AD127" s="24">
        <v>202</v>
      </c>
      <c r="AE127" s="23">
        <v>145</v>
      </c>
      <c r="AF127" s="24">
        <v>40</v>
      </c>
      <c r="AG127" s="23">
        <v>65</v>
      </c>
      <c r="AH127" s="24">
        <v>705</v>
      </c>
      <c r="AI127" s="23">
        <v>253</v>
      </c>
      <c r="AJ127" s="24">
        <v>413</v>
      </c>
      <c r="AK127" s="23">
        <v>186</v>
      </c>
      <c r="AL127" s="24">
        <v>292</v>
      </c>
      <c r="AM127" s="23">
        <v>154</v>
      </c>
      <c r="AN127" s="24">
        <v>85</v>
      </c>
      <c r="AO127" s="23">
        <v>53</v>
      </c>
      <c r="AP127" s="24">
        <v>64</v>
      </c>
      <c r="AQ127" s="23">
        <v>42</v>
      </c>
      <c r="AR127" s="24">
        <v>21</v>
      </c>
      <c r="AS127" s="20">
        <v>33</v>
      </c>
      <c r="AT127" s="19">
        <v>4524</v>
      </c>
      <c r="AU127" s="23">
        <v>692</v>
      </c>
      <c r="AV127" s="24">
        <v>1098</v>
      </c>
      <c r="AW127" s="23">
        <v>258</v>
      </c>
      <c r="AX127" s="24">
        <v>1062</v>
      </c>
      <c r="AY127" s="23">
        <v>264</v>
      </c>
      <c r="AZ127" s="24">
        <v>36</v>
      </c>
      <c r="BA127" s="23">
        <v>33</v>
      </c>
      <c r="BB127" s="24">
        <v>3139</v>
      </c>
      <c r="BC127" s="23">
        <v>536</v>
      </c>
      <c r="BD127" s="24">
        <v>1841</v>
      </c>
      <c r="BE127" s="23">
        <v>329</v>
      </c>
      <c r="BF127" s="24">
        <v>1298</v>
      </c>
      <c r="BG127" s="23">
        <v>471</v>
      </c>
      <c r="BH127" s="24">
        <v>287</v>
      </c>
      <c r="BI127" s="23">
        <v>107</v>
      </c>
      <c r="BJ127" s="24">
        <v>268</v>
      </c>
      <c r="BK127" s="23">
        <v>103</v>
      </c>
      <c r="BL127" s="24">
        <v>19</v>
      </c>
      <c r="BM127" s="20">
        <v>23</v>
      </c>
      <c r="BN127" s="19">
        <v>6583</v>
      </c>
      <c r="BO127" s="23">
        <v>755</v>
      </c>
      <c r="BP127" s="24">
        <v>1199</v>
      </c>
      <c r="BQ127" s="23">
        <v>316</v>
      </c>
      <c r="BR127" s="24">
        <v>1186</v>
      </c>
      <c r="BS127" s="23">
        <v>313</v>
      </c>
      <c r="BT127" s="26">
        <v>13</v>
      </c>
      <c r="BU127" s="23">
        <v>22</v>
      </c>
      <c r="BV127" s="24">
        <v>4432</v>
      </c>
      <c r="BW127" s="23">
        <v>499</v>
      </c>
      <c r="BX127" s="24">
        <v>4270</v>
      </c>
      <c r="BY127" s="23">
        <v>481</v>
      </c>
      <c r="BZ127" s="24">
        <v>162</v>
      </c>
      <c r="CA127" s="23">
        <v>98</v>
      </c>
      <c r="CB127" s="24">
        <v>952</v>
      </c>
      <c r="CC127" s="23">
        <v>175</v>
      </c>
      <c r="CD127" s="24">
        <v>952</v>
      </c>
      <c r="CE127" s="23">
        <v>175</v>
      </c>
      <c r="CF127" s="24">
        <v>0</v>
      </c>
      <c r="CG127" s="20">
        <v>19</v>
      </c>
    </row>
    <row r="128" spans="1:85" x14ac:dyDescent="0.3">
      <c r="A128" t="s">
        <v>255</v>
      </c>
      <c r="B128">
        <v>20852</v>
      </c>
      <c r="C128" t="s">
        <v>256</v>
      </c>
      <c r="D128" s="19">
        <v>45569</v>
      </c>
      <c r="E128" s="20">
        <v>1286</v>
      </c>
      <c r="F128" s="19">
        <v>4877</v>
      </c>
      <c r="G128" s="23">
        <v>1183</v>
      </c>
      <c r="H128" s="24">
        <v>1085</v>
      </c>
      <c r="I128" s="23">
        <v>489</v>
      </c>
      <c r="J128" s="24">
        <v>988</v>
      </c>
      <c r="K128" s="23">
        <v>468</v>
      </c>
      <c r="L128" s="24">
        <v>97</v>
      </c>
      <c r="M128" s="23">
        <v>105</v>
      </c>
      <c r="N128" s="24">
        <v>2865</v>
      </c>
      <c r="O128" s="23">
        <v>808</v>
      </c>
      <c r="P128" s="24">
        <v>2383</v>
      </c>
      <c r="Q128" s="23">
        <v>738</v>
      </c>
      <c r="R128" s="24">
        <v>482</v>
      </c>
      <c r="S128" s="23">
        <v>308</v>
      </c>
      <c r="T128" s="24">
        <v>927</v>
      </c>
      <c r="U128" s="23">
        <v>279</v>
      </c>
      <c r="V128" s="24">
        <v>919</v>
      </c>
      <c r="W128" s="23">
        <v>277</v>
      </c>
      <c r="X128" s="24">
        <v>8</v>
      </c>
      <c r="Y128" s="20">
        <v>36</v>
      </c>
      <c r="Z128" s="19">
        <v>3154</v>
      </c>
      <c r="AA128" s="23">
        <v>839</v>
      </c>
      <c r="AB128" s="24">
        <v>725</v>
      </c>
      <c r="AC128" s="23">
        <v>331</v>
      </c>
      <c r="AD128" s="24">
        <v>592</v>
      </c>
      <c r="AE128" s="23">
        <v>261</v>
      </c>
      <c r="AF128" s="24">
        <v>133</v>
      </c>
      <c r="AG128" s="23">
        <v>178</v>
      </c>
      <c r="AH128" s="24">
        <v>1834</v>
      </c>
      <c r="AI128" s="23">
        <v>484</v>
      </c>
      <c r="AJ128" s="24">
        <v>1289</v>
      </c>
      <c r="AK128" s="23">
        <v>335</v>
      </c>
      <c r="AL128" s="24">
        <v>545</v>
      </c>
      <c r="AM128" s="23">
        <v>348</v>
      </c>
      <c r="AN128" s="24">
        <v>595</v>
      </c>
      <c r="AO128" s="23">
        <v>207</v>
      </c>
      <c r="AP128" s="24">
        <v>556</v>
      </c>
      <c r="AQ128" s="23">
        <v>192</v>
      </c>
      <c r="AR128" s="24">
        <v>39</v>
      </c>
      <c r="AS128" s="20">
        <v>50</v>
      </c>
      <c r="AT128" s="19">
        <v>8521</v>
      </c>
      <c r="AU128" s="23">
        <v>927</v>
      </c>
      <c r="AV128" s="24">
        <v>1685</v>
      </c>
      <c r="AW128" s="23">
        <v>350</v>
      </c>
      <c r="AX128" s="24">
        <v>1582</v>
      </c>
      <c r="AY128" s="23">
        <v>319</v>
      </c>
      <c r="AZ128" s="24">
        <v>103</v>
      </c>
      <c r="BA128" s="23">
        <v>96</v>
      </c>
      <c r="BB128" s="24">
        <v>5459</v>
      </c>
      <c r="BC128" s="23">
        <v>656</v>
      </c>
      <c r="BD128" s="24">
        <v>5112</v>
      </c>
      <c r="BE128" s="23">
        <v>648</v>
      </c>
      <c r="BF128" s="24">
        <v>347</v>
      </c>
      <c r="BG128" s="23">
        <v>156</v>
      </c>
      <c r="BH128" s="24">
        <v>1377</v>
      </c>
      <c r="BI128" s="23">
        <v>275</v>
      </c>
      <c r="BJ128" s="24">
        <v>1349</v>
      </c>
      <c r="BK128" s="23">
        <v>276</v>
      </c>
      <c r="BL128" s="24">
        <v>28</v>
      </c>
      <c r="BM128" s="20">
        <v>33</v>
      </c>
      <c r="BN128" s="19">
        <v>29017</v>
      </c>
      <c r="BO128" s="23">
        <v>1183</v>
      </c>
      <c r="BP128" s="24">
        <v>5528</v>
      </c>
      <c r="BQ128" s="23">
        <v>508</v>
      </c>
      <c r="BR128" s="24">
        <v>5344</v>
      </c>
      <c r="BS128" s="23">
        <v>497</v>
      </c>
      <c r="BT128" s="26">
        <v>184</v>
      </c>
      <c r="BU128" s="23">
        <v>149</v>
      </c>
      <c r="BV128" s="24">
        <v>18866</v>
      </c>
      <c r="BW128" s="23">
        <v>898</v>
      </c>
      <c r="BX128" s="24">
        <v>18332</v>
      </c>
      <c r="BY128" s="23">
        <v>897</v>
      </c>
      <c r="BZ128" s="24">
        <v>534</v>
      </c>
      <c r="CA128" s="23">
        <v>184</v>
      </c>
      <c r="CB128" s="24">
        <v>4623</v>
      </c>
      <c r="CC128" s="23">
        <v>427</v>
      </c>
      <c r="CD128" s="24">
        <v>4584</v>
      </c>
      <c r="CE128" s="23">
        <v>429</v>
      </c>
      <c r="CF128" s="24">
        <v>39</v>
      </c>
      <c r="CG128" s="20">
        <v>36</v>
      </c>
    </row>
    <row r="129" spans="1:85" x14ac:dyDescent="0.3">
      <c r="A129" t="s">
        <v>257</v>
      </c>
      <c r="B129">
        <v>20853</v>
      </c>
      <c r="C129" t="s">
        <v>258</v>
      </c>
      <c r="D129" s="19">
        <v>30426</v>
      </c>
      <c r="E129" s="20">
        <v>1073</v>
      </c>
      <c r="F129" s="19">
        <v>2653</v>
      </c>
      <c r="G129" s="23">
        <v>855</v>
      </c>
      <c r="H129" s="24">
        <v>643</v>
      </c>
      <c r="I129" s="23">
        <v>357</v>
      </c>
      <c r="J129" s="24">
        <v>572</v>
      </c>
      <c r="K129" s="23">
        <v>340</v>
      </c>
      <c r="L129" s="24">
        <v>71</v>
      </c>
      <c r="M129" s="23">
        <v>112</v>
      </c>
      <c r="N129" s="24">
        <v>1534</v>
      </c>
      <c r="O129" s="23">
        <v>530</v>
      </c>
      <c r="P129" s="24">
        <v>948</v>
      </c>
      <c r="Q129" s="23">
        <v>372</v>
      </c>
      <c r="R129" s="24">
        <v>586</v>
      </c>
      <c r="S129" s="23">
        <v>299</v>
      </c>
      <c r="T129" s="24">
        <v>476</v>
      </c>
      <c r="U129" s="23">
        <v>232</v>
      </c>
      <c r="V129" s="24">
        <v>460</v>
      </c>
      <c r="W129" s="23">
        <v>230</v>
      </c>
      <c r="X129" s="24">
        <v>16</v>
      </c>
      <c r="Y129" s="20">
        <v>55</v>
      </c>
      <c r="Z129" s="19">
        <v>2560</v>
      </c>
      <c r="AA129" s="23">
        <v>890</v>
      </c>
      <c r="AB129" s="24">
        <v>728</v>
      </c>
      <c r="AC129" s="23">
        <v>426</v>
      </c>
      <c r="AD129" s="24">
        <v>694</v>
      </c>
      <c r="AE129" s="23">
        <v>410</v>
      </c>
      <c r="AF129" s="24">
        <v>34</v>
      </c>
      <c r="AG129" s="23">
        <v>43</v>
      </c>
      <c r="AH129" s="24">
        <v>1511</v>
      </c>
      <c r="AI129" s="23">
        <v>526</v>
      </c>
      <c r="AJ129" s="24">
        <v>755</v>
      </c>
      <c r="AK129" s="23">
        <v>353</v>
      </c>
      <c r="AL129" s="24">
        <v>756</v>
      </c>
      <c r="AM129" s="23">
        <v>414</v>
      </c>
      <c r="AN129" s="24">
        <v>321</v>
      </c>
      <c r="AO129" s="23">
        <v>132</v>
      </c>
      <c r="AP129" s="24">
        <v>321</v>
      </c>
      <c r="AQ129" s="23">
        <v>132</v>
      </c>
      <c r="AR129" s="24">
        <v>0</v>
      </c>
      <c r="AS129" s="20">
        <v>25</v>
      </c>
      <c r="AT129" s="19">
        <v>6737</v>
      </c>
      <c r="AU129" s="23">
        <v>971</v>
      </c>
      <c r="AV129" s="24">
        <v>1686</v>
      </c>
      <c r="AW129" s="23">
        <v>333</v>
      </c>
      <c r="AX129" s="24">
        <v>1631</v>
      </c>
      <c r="AY129" s="23">
        <v>343</v>
      </c>
      <c r="AZ129" s="24">
        <v>55</v>
      </c>
      <c r="BA129" s="23">
        <v>56</v>
      </c>
      <c r="BB129" s="24">
        <v>4110</v>
      </c>
      <c r="BC129" s="23">
        <v>709</v>
      </c>
      <c r="BD129" s="24">
        <v>3475</v>
      </c>
      <c r="BE129" s="23">
        <v>631</v>
      </c>
      <c r="BF129" s="24">
        <v>635</v>
      </c>
      <c r="BG129" s="23">
        <v>247</v>
      </c>
      <c r="BH129" s="24">
        <v>941</v>
      </c>
      <c r="BI129" s="23">
        <v>197</v>
      </c>
      <c r="BJ129" s="24">
        <v>907</v>
      </c>
      <c r="BK129" s="23">
        <v>183</v>
      </c>
      <c r="BL129" s="24">
        <v>34</v>
      </c>
      <c r="BM129" s="20">
        <v>53</v>
      </c>
      <c r="BN129" s="19">
        <v>18476</v>
      </c>
      <c r="BO129" s="23">
        <v>986</v>
      </c>
      <c r="BP129" s="24">
        <v>3820</v>
      </c>
      <c r="BQ129" s="23">
        <v>394</v>
      </c>
      <c r="BR129" s="24">
        <v>3711</v>
      </c>
      <c r="BS129" s="23">
        <v>366</v>
      </c>
      <c r="BT129" s="26">
        <v>109</v>
      </c>
      <c r="BU129" s="23">
        <v>122</v>
      </c>
      <c r="BV129" s="24">
        <v>11386</v>
      </c>
      <c r="BW129" s="23">
        <v>623</v>
      </c>
      <c r="BX129" s="24">
        <v>10830</v>
      </c>
      <c r="BY129" s="23">
        <v>591</v>
      </c>
      <c r="BZ129" s="24">
        <v>556</v>
      </c>
      <c r="CA129" s="23">
        <v>282</v>
      </c>
      <c r="CB129" s="24">
        <v>3270</v>
      </c>
      <c r="CC129" s="23">
        <v>287</v>
      </c>
      <c r="CD129" s="24">
        <v>3250</v>
      </c>
      <c r="CE129" s="23">
        <v>286</v>
      </c>
      <c r="CF129" s="24">
        <v>20</v>
      </c>
      <c r="CG129" s="20">
        <v>31</v>
      </c>
    </row>
    <row r="130" spans="1:85" x14ac:dyDescent="0.3">
      <c r="A130" t="s">
        <v>259</v>
      </c>
      <c r="B130">
        <v>20854</v>
      </c>
      <c r="C130" t="s">
        <v>260</v>
      </c>
      <c r="D130" s="19">
        <v>49076</v>
      </c>
      <c r="E130" s="20">
        <v>1034</v>
      </c>
      <c r="F130" s="19">
        <v>1538</v>
      </c>
      <c r="G130" s="23">
        <v>499</v>
      </c>
      <c r="H130" s="24">
        <v>517</v>
      </c>
      <c r="I130" s="23">
        <v>324</v>
      </c>
      <c r="J130" s="24">
        <v>507</v>
      </c>
      <c r="K130" s="23">
        <v>324</v>
      </c>
      <c r="L130" s="24">
        <v>10</v>
      </c>
      <c r="M130" s="23">
        <v>41</v>
      </c>
      <c r="N130" s="24">
        <v>777</v>
      </c>
      <c r="O130" s="23">
        <v>248</v>
      </c>
      <c r="P130" s="24">
        <v>723</v>
      </c>
      <c r="Q130" s="23">
        <v>228</v>
      </c>
      <c r="R130" s="24">
        <v>54</v>
      </c>
      <c r="S130" s="23">
        <v>62</v>
      </c>
      <c r="T130" s="24">
        <v>244</v>
      </c>
      <c r="U130" s="23">
        <v>137</v>
      </c>
      <c r="V130" s="24">
        <v>234</v>
      </c>
      <c r="W130" s="23">
        <v>133</v>
      </c>
      <c r="X130" s="24">
        <v>10</v>
      </c>
      <c r="Y130" s="20">
        <v>41</v>
      </c>
      <c r="Z130" s="19">
        <v>956</v>
      </c>
      <c r="AA130" s="23">
        <v>330</v>
      </c>
      <c r="AB130" s="24">
        <v>219</v>
      </c>
      <c r="AC130" s="23">
        <v>123</v>
      </c>
      <c r="AD130" s="24">
        <v>175</v>
      </c>
      <c r="AE130" s="23">
        <v>101</v>
      </c>
      <c r="AF130" s="24">
        <v>44</v>
      </c>
      <c r="AG130" s="23">
        <v>69</v>
      </c>
      <c r="AH130" s="24">
        <v>512</v>
      </c>
      <c r="AI130" s="23">
        <v>200</v>
      </c>
      <c r="AJ130" s="24">
        <v>428</v>
      </c>
      <c r="AK130" s="23">
        <v>183</v>
      </c>
      <c r="AL130" s="24">
        <v>84</v>
      </c>
      <c r="AM130" s="23">
        <v>86</v>
      </c>
      <c r="AN130" s="24">
        <v>225</v>
      </c>
      <c r="AO130" s="23">
        <v>98</v>
      </c>
      <c r="AP130" s="24">
        <v>211</v>
      </c>
      <c r="AQ130" s="23">
        <v>95</v>
      </c>
      <c r="AR130" s="24">
        <v>14</v>
      </c>
      <c r="AS130" s="20">
        <v>21</v>
      </c>
      <c r="AT130" s="19">
        <v>3247</v>
      </c>
      <c r="AU130" s="23">
        <v>504</v>
      </c>
      <c r="AV130" s="24">
        <v>701</v>
      </c>
      <c r="AW130" s="23">
        <v>186</v>
      </c>
      <c r="AX130" s="24">
        <v>651</v>
      </c>
      <c r="AY130" s="23">
        <v>180</v>
      </c>
      <c r="AZ130" s="24">
        <v>50</v>
      </c>
      <c r="BA130" s="23">
        <v>59</v>
      </c>
      <c r="BB130" s="24">
        <v>1746</v>
      </c>
      <c r="BC130" s="23">
        <v>308</v>
      </c>
      <c r="BD130" s="24">
        <v>1593</v>
      </c>
      <c r="BE130" s="23">
        <v>290</v>
      </c>
      <c r="BF130" s="24">
        <v>153</v>
      </c>
      <c r="BG130" s="23">
        <v>90</v>
      </c>
      <c r="BH130" s="24">
        <v>800</v>
      </c>
      <c r="BI130" s="23">
        <v>178</v>
      </c>
      <c r="BJ130" s="24">
        <v>800</v>
      </c>
      <c r="BK130" s="23">
        <v>178</v>
      </c>
      <c r="BL130" s="24">
        <v>0</v>
      </c>
      <c r="BM130" s="20">
        <v>25</v>
      </c>
      <c r="BN130" s="19">
        <v>43335</v>
      </c>
      <c r="BO130" s="23">
        <v>1147</v>
      </c>
      <c r="BP130" s="24">
        <v>11354</v>
      </c>
      <c r="BQ130" s="23">
        <v>592</v>
      </c>
      <c r="BR130" s="24">
        <v>11110</v>
      </c>
      <c r="BS130" s="23">
        <v>576</v>
      </c>
      <c r="BT130" s="26">
        <v>244</v>
      </c>
      <c r="BU130" s="23">
        <v>144</v>
      </c>
      <c r="BV130" s="24">
        <v>23292</v>
      </c>
      <c r="BW130" s="23">
        <v>752</v>
      </c>
      <c r="BX130" s="24">
        <v>22893</v>
      </c>
      <c r="BY130" s="23">
        <v>736</v>
      </c>
      <c r="BZ130" s="24">
        <v>399</v>
      </c>
      <c r="CA130" s="23">
        <v>197</v>
      </c>
      <c r="CB130" s="24">
        <v>8689</v>
      </c>
      <c r="CC130" s="23">
        <v>389</v>
      </c>
      <c r="CD130" s="24">
        <v>8520</v>
      </c>
      <c r="CE130" s="23">
        <v>401</v>
      </c>
      <c r="CF130" s="24">
        <v>169</v>
      </c>
      <c r="CG130" s="20">
        <v>103</v>
      </c>
    </row>
    <row r="131" spans="1:85" x14ac:dyDescent="0.3">
      <c r="A131" t="s">
        <v>261</v>
      </c>
      <c r="B131">
        <v>20855</v>
      </c>
      <c r="C131" t="s">
        <v>262</v>
      </c>
      <c r="D131" s="19">
        <v>14376</v>
      </c>
      <c r="E131" s="20">
        <v>877</v>
      </c>
      <c r="F131" s="19">
        <v>995</v>
      </c>
      <c r="G131" s="23">
        <v>463</v>
      </c>
      <c r="H131" s="24">
        <v>184</v>
      </c>
      <c r="I131" s="23">
        <v>199</v>
      </c>
      <c r="J131" s="24">
        <v>184</v>
      </c>
      <c r="K131" s="23">
        <v>199</v>
      </c>
      <c r="L131" s="24">
        <v>0</v>
      </c>
      <c r="M131" s="23">
        <v>38</v>
      </c>
      <c r="N131" s="24">
        <v>565</v>
      </c>
      <c r="O131" s="23">
        <v>305</v>
      </c>
      <c r="P131" s="24">
        <v>487</v>
      </c>
      <c r="Q131" s="23">
        <v>289</v>
      </c>
      <c r="R131" s="24">
        <v>78</v>
      </c>
      <c r="S131" s="23">
        <v>90</v>
      </c>
      <c r="T131" s="24">
        <v>246</v>
      </c>
      <c r="U131" s="23">
        <v>159</v>
      </c>
      <c r="V131" s="24">
        <v>246</v>
      </c>
      <c r="W131" s="23">
        <v>159</v>
      </c>
      <c r="X131" s="24">
        <v>0</v>
      </c>
      <c r="Y131" s="20">
        <v>38</v>
      </c>
      <c r="Z131" s="19">
        <v>564</v>
      </c>
      <c r="AA131" s="23">
        <v>444</v>
      </c>
      <c r="AB131" s="24">
        <v>192</v>
      </c>
      <c r="AC131" s="23">
        <v>172</v>
      </c>
      <c r="AD131" s="24">
        <v>109</v>
      </c>
      <c r="AE131" s="23">
        <v>112</v>
      </c>
      <c r="AF131" s="24">
        <v>83</v>
      </c>
      <c r="AG131" s="23">
        <v>123</v>
      </c>
      <c r="AH131" s="24">
        <v>327</v>
      </c>
      <c r="AI131" s="23">
        <v>264</v>
      </c>
      <c r="AJ131" s="24">
        <v>114</v>
      </c>
      <c r="AK131" s="23">
        <v>102</v>
      </c>
      <c r="AL131" s="24">
        <v>213</v>
      </c>
      <c r="AM131" s="23">
        <v>228</v>
      </c>
      <c r="AN131" s="24">
        <v>45</v>
      </c>
      <c r="AO131" s="23">
        <v>44</v>
      </c>
      <c r="AP131" s="24">
        <v>45</v>
      </c>
      <c r="AQ131" s="23">
        <v>44</v>
      </c>
      <c r="AR131" s="24">
        <v>0</v>
      </c>
      <c r="AS131" s="20">
        <v>19</v>
      </c>
      <c r="AT131" s="19">
        <v>2348</v>
      </c>
      <c r="AU131" s="23">
        <v>490</v>
      </c>
      <c r="AV131" s="24">
        <v>582</v>
      </c>
      <c r="AW131" s="23">
        <v>194</v>
      </c>
      <c r="AX131" s="24">
        <v>582</v>
      </c>
      <c r="AY131" s="23">
        <v>194</v>
      </c>
      <c r="AZ131" s="24">
        <v>0</v>
      </c>
      <c r="BA131" s="23">
        <v>19</v>
      </c>
      <c r="BB131" s="24">
        <v>1383</v>
      </c>
      <c r="BC131" s="23">
        <v>296</v>
      </c>
      <c r="BD131" s="24">
        <v>1177</v>
      </c>
      <c r="BE131" s="23">
        <v>262</v>
      </c>
      <c r="BF131" s="24">
        <v>206</v>
      </c>
      <c r="BG131" s="23">
        <v>103</v>
      </c>
      <c r="BH131" s="24">
        <v>383</v>
      </c>
      <c r="BI131" s="23">
        <v>127</v>
      </c>
      <c r="BJ131" s="24">
        <v>359</v>
      </c>
      <c r="BK131" s="23">
        <v>118</v>
      </c>
      <c r="BL131" s="24">
        <v>24</v>
      </c>
      <c r="BM131" s="20">
        <v>38</v>
      </c>
      <c r="BN131" s="19">
        <v>10469</v>
      </c>
      <c r="BO131" s="23">
        <v>851</v>
      </c>
      <c r="BP131" s="24">
        <v>1978</v>
      </c>
      <c r="BQ131" s="23">
        <v>286</v>
      </c>
      <c r="BR131" s="24">
        <v>1958</v>
      </c>
      <c r="BS131" s="23">
        <v>291</v>
      </c>
      <c r="BT131" s="26">
        <v>20</v>
      </c>
      <c r="BU131" s="23">
        <v>32</v>
      </c>
      <c r="BV131" s="24">
        <v>6515</v>
      </c>
      <c r="BW131" s="23">
        <v>571</v>
      </c>
      <c r="BX131" s="24">
        <v>6357</v>
      </c>
      <c r="BY131" s="23">
        <v>551</v>
      </c>
      <c r="BZ131" s="24">
        <v>158</v>
      </c>
      <c r="CA131" s="23">
        <v>89</v>
      </c>
      <c r="CB131" s="24">
        <v>1976</v>
      </c>
      <c r="CC131" s="23">
        <v>246</v>
      </c>
      <c r="CD131" s="24">
        <v>1958</v>
      </c>
      <c r="CE131" s="23">
        <v>242</v>
      </c>
      <c r="CF131" s="24">
        <v>18</v>
      </c>
      <c r="CG131" s="20">
        <v>28</v>
      </c>
    </row>
    <row r="132" spans="1:85" x14ac:dyDescent="0.3">
      <c r="A132" t="s">
        <v>263</v>
      </c>
      <c r="B132">
        <v>20860</v>
      </c>
      <c r="C132" t="s">
        <v>264</v>
      </c>
      <c r="D132" s="19">
        <v>2775</v>
      </c>
      <c r="E132" s="20">
        <v>623</v>
      </c>
      <c r="F132" s="19">
        <v>145</v>
      </c>
      <c r="G132" s="23">
        <v>113</v>
      </c>
      <c r="H132" s="24">
        <v>0</v>
      </c>
      <c r="I132" s="23">
        <v>24</v>
      </c>
      <c r="J132" s="24">
        <v>0</v>
      </c>
      <c r="K132" s="23">
        <v>24</v>
      </c>
      <c r="L132" s="24">
        <v>0</v>
      </c>
      <c r="M132" s="23">
        <v>24</v>
      </c>
      <c r="N132" s="24">
        <v>86</v>
      </c>
      <c r="O132" s="23">
        <v>103</v>
      </c>
      <c r="P132" s="24">
        <v>80</v>
      </c>
      <c r="Q132" s="23">
        <v>97</v>
      </c>
      <c r="R132" s="24">
        <v>6</v>
      </c>
      <c r="S132" s="23">
        <v>25</v>
      </c>
      <c r="T132" s="24">
        <v>59</v>
      </c>
      <c r="U132" s="23">
        <v>63</v>
      </c>
      <c r="V132" s="24">
        <v>59</v>
      </c>
      <c r="W132" s="23">
        <v>63</v>
      </c>
      <c r="X132" s="24">
        <v>0</v>
      </c>
      <c r="Y132" s="20">
        <v>24</v>
      </c>
      <c r="Z132" s="19">
        <v>505</v>
      </c>
      <c r="AA132" s="23">
        <v>455</v>
      </c>
      <c r="AB132" s="24">
        <v>245</v>
      </c>
      <c r="AC132" s="23">
        <v>271</v>
      </c>
      <c r="AD132" s="24">
        <v>245</v>
      </c>
      <c r="AE132" s="23">
        <v>271</v>
      </c>
      <c r="AF132" s="24">
        <v>0</v>
      </c>
      <c r="AG132" s="23">
        <v>12</v>
      </c>
      <c r="AH132" s="24">
        <v>185</v>
      </c>
      <c r="AI132" s="23">
        <v>175</v>
      </c>
      <c r="AJ132" s="24">
        <v>185</v>
      </c>
      <c r="AK132" s="23">
        <v>175</v>
      </c>
      <c r="AL132" s="24">
        <v>0</v>
      </c>
      <c r="AM132" s="23">
        <v>12</v>
      </c>
      <c r="AN132" s="24">
        <v>75</v>
      </c>
      <c r="AO132" s="23">
        <v>111</v>
      </c>
      <c r="AP132" s="24">
        <v>75</v>
      </c>
      <c r="AQ132" s="23">
        <v>111</v>
      </c>
      <c r="AR132" s="24">
        <v>0</v>
      </c>
      <c r="AS132" s="20">
        <v>12</v>
      </c>
      <c r="AT132" s="19">
        <v>270</v>
      </c>
      <c r="AU132" s="23">
        <v>161</v>
      </c>
      <c r="AV132" s="24">
        <v>54</v>
      </c>
      <c r="AW132" s="23">
        <v>65</v>
      </c>
      <c r="AX132" s="24">
        <v>54</v>
      </c>
      <c r="AY132" s="23">
        <v>65</v>
      </c>
      <c r="AZ132" s="24">
        <v>0</v>
      </c>
      <c r="BA132" s="23">
        <v>12</v>
      </c>
      <c r="BB132" s="24">
        <v>106</v>
      </c>
      <c r="BC132" s="23">
        <v>105</v>
      </c>
      <c r="BD132" s="24">
        <v>106</v>
      </c>
      <c r="BE132" s="23">
        <v>105</v>
      </c>
      <c r="BF132" s="24">
        <v>0</v>
      </c>
      <c r="BG132" s="23">
        <v>12</v>
      </c>
      <c r="BH132" s="24">
        <v>110</v>
      </c>
      <c r="BI132" s="23">
        <v>67</v>
      </c>
      <c r="BJ132" s="24">
        <v>110</v>
      </c>
      <c r="BK132" s="23">
        <v>67</v>
      </c>
      <c r="BL132" s="24">
        <v>0</v>
      </c>
      <c r="BM132" s="20">
        <v>12</v>
      </c>
      <c r="BN132" s="19">
        <v>1855</v>
      </c>
      <c r="BO132" s="23">
        <v>452</v>
      </c>
      <c r="BP132" s="24">
        <v>616</v>
      </c>
      <c r="BQ132" s="23">
        <v>246</v>
      </c>
      <c r="BR132" s="24">
        <v>616</v>
      </c>
      <c r="BS132" s="23">
        <v>246</v>
      </c>
      <c r="BT132" s="26">
        <v>0</v>
      </c>
      <c r="BU132" s="23">
        <v>12</v>
      </c>
      <c r="BV132" s="24">
        <v>997</v>
      </c>
      <c r="BW132" s="23">
        <v>263</v>
      </c>
      <c r="BX132" s="24">
        <v>855</v>
      </c>
      <c r="BY132" s="23">
        <v>245</v>
      </c>
      <c r="BZ132" s="24">
        <v>142</v>
      </c>
      <c r="CA132" s="23">
        <v>177</v>
      </c>
      <c r="CB132" s="24">
        <v>242</v>
      </c>
      <c r="CC132" s="23">
        <v>99</v>
      </c>
      <c r="CD132" s="24">
        <v>242</v>
      </c>
      <c r="CE132" s="23">
        <v>99</v>
      </c>
      <c r="CF132" s="24">
        <v>0</v>
      </c>
      <c r="CG132" s="20">
        <v>12</v>
      </c>
    </row>
    <row r="133" spans="1:85" x14ac:dyDescent="0.3">
      <c r="A133" t="s">
        <v>265</v>
      </c>
      <c r="B133">
        <v>20861</v>
      </c>
      <c r="C133" t="s">
        <v>266</v>
      </c>
      <c r="D133" s="19">
        <v>1843</v>
      </c>
      <c r="E133" s="20">
        <v>482</v>
      </c>
      <c r="F133" s="19">
        <v>22</v>
      </c>
      <c r="G133" s="23">
        <v>35</v>
      </c>
      <c r="H133" s="24">
        <v>10</v>
      </c>
      <c r="I133" s="23">
        <v>29</v>
      </c>
      <c r="J133" s="24">
        <v>10</v>
      </c>
      <c r="K133" s="23">
        <v>29</v>
      </c>
      <c r="L133" s="24">
        <v>0</v>
      </c>
      <c r="M133" s="23">
        <v>24</v>
      </c>
      <c r="N133" s="24">
        <v>12</v>
      </c>
      <c r="O133" s="23">
        <v>30</v>
      </c>
      <c r="P133" s="24">
        <v>12</v>
      </c>
      <c r="Q133" s="23">
        <v>30</v>
      </c>
      <c r="R133" s="24">
        <v>0</v>
      </c>
      <c r="S133" s="23">
        <v>24</v>
      </c>
      <c r="T133" s="24">
        <v>0</v>
      </c>
      <c r="U133" s="23">
        <v>24</v>
      </c>
      <c r="V133" s="24">
        <v>0</v>
      </c>
      <c r="W133" s="23">
        <v>24</v>
      </c>
      <c r="X133" s="24">
        <v>0</v>
      </c>
      <c r="Y133" s="20">
        <v>24</v>
      </c>
      <c r="Z133" s="19">
        <v>0</v>
      </c>
      <c r="AA133" s="23">
        <v>12</v>
      </c>
      <c r="AB133" s="24">
        <v>0</v>
      </c>
      <c r="AC133" s="23">
        <v>12</v>
      </c>
      <c r="AD133" s="24">
        <v>0</v>
      </c>
      <c r="AE133" s="23">
        <v>12</v>
      </c>
      <c r="AF133" s="24">
        <v>0</v>
      </c>
      <c r="AG133" s="23">
        <v>12</v>
      </c>
      <c r="AH133" s="24">
        <v>0</v>
      </c>
      <c r="AI133" s="23">
        <v>12</v>
      </c>
      <c r="AJ133" s="24">
        <v>0</v>
      </c>
      <c r="AK133" s="23">
        <v>12</v>
      </c>
      <c r="AL133" s="24">
        <v>0</v>
      </c>
      <c r="AM133" s="23">
        <v>12</v>
      </c>
      <c r="AN133" s="24">
        <v>0</v>
      </c>
      <c r="AO133" s="23">
        <v>12</v>
      </c>
      <c r="AP133" s="24">
        <v>0</v>
      </c>
      <c r="AQ133" s="23">
        <v>12</v>
      </c>
      <c r="AR133" s="24">
        <v>0</v>
      </c>
      <c r="AS133" s="20">
        <v>12</v>
      </c>
      <c r="AT133" s="19">
        <v>25</v>
      </c>
      <c r="AU133" s="23">
        <v>36</v>
      </c>
      <c r="AV133" s="24">
        <v>0</v>
      </c>
      <c r="AW133" s="23">
        <v>12</v>
      </c>
      <c r="AX133" s="24">
        <v>0</v>
      </c>
      <c r="AY133" s="23">
        <v>12</v>
      </c>
      <c r="AZ133" s="24">
        <v>0</v>
      </c>
      <c r="BA133" s="23">
        <v>12</v>
      </c>
      <c r="BB133" s="24">
        <v>18</v>
      </c>
      <c r="BC133" s="23">
        <v>29</v>
      </c>
      <c r="BD133" s="24">
        <v>18</v>
      </c>
      <c r="BE133" s="23">
        <v>29</v>
      </c>
      <c r="BF133" s="24">
        <v>0</v>
      </c>
      <c r="BG133" s="23">
        <v>12</v>
      </c>
      <c r="BH133" s="24">
        <v>7</v>
      </c>
      <c r="BI133" s="23">
        <v>18</v>
      </c>
      <c r="BJ133" s="24">
        <v>7</v>
      </c>
      <c r="BK133" s="23">
        <v>18</v>
      </c>
      <c r="BL133" s="24">
        <v>0</v>
      </c>
      <c r="BM133" s="20">
        <v>12</v>
      </c>
      <c r="BN133" s="19">
        <v>1796</v>
      </c>
      <c r="BO133" s="23">
        <v>480</v>
      </c>
      <c r="BP133" s="24">
        <v>464</v>
      </c>
      <c r="BQ133" s="23">
        <v>244</v>
      </c>
      <c r="BR133" s="24">
        <v>446</v>
      </c>
      <c r="BS133" s="23">
        <v>244</v>
      </c>
      <c r="BT133" s="26">
        <v>18</v>
      </c>
      <c r="BU133" s="23">
        <v>29</v>
      </c>
      <c r="BV133" s="24">
        <v>1067</v>
      </c>
      <c r="BW133" s="23">
        <v>277</v>
      </c>
      <c r="BX133" s="24">
        <v>1032</v>
      </c>
      <c r="BY133" s="23">
        <v>270</v>
      </c>
      <c r="BZ133" s="24">
        <v>35</v>
      </c>
      <c r="CA133" s="23">
        <v>40</v>
      </c>
      <c r="CB133" s="24">
        <v>265</v>
      </c>
      <c r="CC133" s="23">
        <v>107</v>
      </c>
      <c r="CD133" s="24">
        <v>265</v>
      </c>
      <c r="CE133" s="23">
        <v>107</v>
      </c>
      <c r="CF133" s="24">
        <v>0</v>
      </c>
      <c r="CG133" s="20">
        <v>12</v>
      </c>
    </row>
    <row r="134" spans="1:85" x14ac:dyDescent="0.3">
      <c r="A134" t="s">
        <v>267</v>
      </c>
      <c r="B134">
        <v>20862</v>
      </c>
      <c r="C134" t="s">
        <v>268</v>
      </c>
      <c r="D134" s="19">
        <v>292</v>
      </c>
      <c r="E134" s="20">
        <v>99</v>
      </c>
      <c r="F134" s="19">
        <v>0</v>
      </c>
      <c r="G134" s="23">
        <v>24</v>
      </c>
      <c r="H134" s="24">
        <v>0</v>
      </c>
      <c r="I134" s="23">
        <v>24</v>
      </c>
      <c r="J134" s="24">
        <v>0</v>
      </c>
      <c r="K134" s="23">
        <v>24</v>
      </c>
      <c r="L134" s="24">
        <v>0</v>
      </c>
      <c r="M134" s="23">
        <v>24</v>
      </c>
      <c r="N134" s="24">
        <v>0</v>
      </c>
      <c r="O134" s="23">
        <v>24</v>
      </c>
      <c r="P134" s="24">
        <v>0</v>
      </c>
      <c r="Q134" s="23">
        <v>24</v>
      </c>
      <c r="R134" s="24">
        <v>0</v>
      </c>
      <c r="S134" s="23">
        <v>24</v>
      </c>
      <c r="T134" s="24">
        <v>0</v>
      </c>
      <c r="U134" s="23">
        <v>24</v>
      </c>
      <c r="V134" s="24">
        <v>0</v>
      </c>
      <c r="W134" s="23">
        <v>24</v>
      </c>
      <c r="X134" s="24">
        <v>0</v>
      </c>
      <c r="Y134" s="20">
        <v>24</v>
      </c>
      <c r="Z134" s="19">
        <v>0</v>
      </c>
      <c r="AA134" s="23">
        <v>12</v>
      </c>
      <c r="AB134" s="24">
        <v>0</v>
      </c>
      <c r="AC134" s="23">
        <v>12</v>
      </c>
      <c r="AD134" s="24">
        <v>0</v>
      </c>
      <c r="AE134" s="23">
        <v>12</v>
      </c>
      <c r="AF134" s="24">
        <v>0</v>
      </c>
      <c r="AG134" s="23">
        <v>12</v>
      </c>
      <c r="AH134" s="24">
        <v>0</v>
      </c>
      <c r="AI134" s="23">
        <v>12</v>
      </c>
      <c r="AJ134" s="24">
        <v>0</v>
      </c>
      <c r="AK134" s="23">
        <v>12</v>
      </c>
      <c r="AL134" s="24">
        <v>0</v>
      </c>
      <c r="AM134" s="23">
        <v>12</v>
      </c>
      <c r="AN134" s="24">
        <v>0</v>
      </c>
      <c r="AO134" s="23">
        <v>12</v>
      </c>
      <c r="AP134" s="24">
        <v>0</v>
      </c>
      <c r="AQ134" s="23">
        <v>12</v>
      </c>
      <c r="AR134" s="24">
        <v>0</v>
      </c>
      <c r="AS134" s="20">
        <v>12</v>
      </c>
      <c r="AT134" s="19">
        <v>64</v>
      </c>
      <c r="AU134" s="23">
        <v>51</v>
      </c>
      <c r="AV134" s="24">
        <v>0</v>
      </c>
      <c r="AW134" s="23">
        <v>12</v>
      </c>
      <c r="AX134" s="24">
        <v>0</v>
      </c>
      <c r="AY134" s="23">
        <v>12</v>
      </c>
      <c r="AZ134" s="24">
        <v>0</v>
      </c>
      <c r="BA134" s="23">
        <v>12</v>
      </c>
      <c r="BB134" s="24">
        <v>13</v>
      </c>
      <c r="BC134" s="23">
        <v>19</v>
      </c>
      <c r="BD134" s="24">
        <v>13</v>
      </c>
      <c r="BE134" s="23">
        <v>19</v>
      </c>
      <c r="BF134" s="24">
        <v>0</v>
      </c>
      <c r="BG134" s="23">
        <v>12</v>
      </c>
      <c r="BH134" s="24">
        <v>51</v>
      </c>
      <c r="BI134" s="23">
        <v>37</v>
      </c>
      <c r="BJ134" s="24">
        <v>51</v>
      </c>
      <c r="BK134" s="23">
        <v>37</v>
      </c>
      <c r="BL134" s="24">
        <v>0</v>
      </c>
      <c r="BM134" s="20">
        <v>12</v>
      </c>
      <c r="BN134" s="19">
        <v>228</v>
      </c>
      <c r="BO134" s="23">
        <v>99</v>
      </c>
      <c r="BP134" s="24">
        <v>62</v>
      </c>
      <c r="BQ134" s="23">
        <v>54</v>
      </c>
      <c r="BR134" s="24">
        <v>62</v>
      </c>
      <c r="BS134" s="23">
        <v>54</v>
      </c>
      <c r="BT134" s="26">
        <v>0</v>
      </c>
      <c r="BU134" s="23">
        <v>12</v>
      </c>
      <c r="BV134" s="24">
        <v>108</v>
      </c>
      <c r="BW134" s="23">
        <v>72</v>
      </c>
      <c r="BX134" s="24">
        <v>108</v>
      </c>
      <c r="BY134" s="23">
        <v>72</v>
      </c>
      <c r="BZ134" s="24">
        <v>0</v>
      </c>
      <c r="CA134" s="23">
        <v>12</v>
      </c>
      <c r="CB134" s="24">
        <v>58</v>
      </c>
      <c r="CC134" s="23">
        <v>30</v>
      </c>
      <c r="CD134" s="24">
        <v>58</v>
      </c>
      <c r="CE134" s="23">
        <v>30</v>
      </c>
      <c r="CF134" s="24">
        <v>0</v>
      </c>
      <c r="CG134" s="20">
        <v>12</v>
      </c>
    </row>
    <row r="135" spans="1:85" x14ac:dyDescent="0.3">
      <c r="A135" t="s">
        <v>269</v>
      </c>
      <c r="B135">
        <v>20866</v>
      </c>
      <c r="C135" t="s">
        <v>270</v>
      </c>
      <c r="D135" s="19">
        <v>15388</v>
      </c>
      <c r="E135" s="20">
        <v>1038</v>
      </c>
      <c r="F135" s="19">
        <v>1365</v>
      </c>
      <c r="G135" s="23">
        <v>924</v>
      </c>
      <c r="H135" s="24">
        <v>462</v>
      </c>
      <c r="I135" s="23">
        <v>438</v>
      </c>
      <c r="J135" s="24">
        <v>337</v>
      </c>
      <c r="K135" s="23">
        <v>331</v>
      </c>
      <c r="L135" s="24">
        <v>125</v>
      </c>
      <c r="M135" s="23">
        <v>167</v>
      </c>
      <c r="N135" s="24">
        <v>796</v>
      </c>
      <c r="O135" s="23">
        <v>528</v>
      </c>
      <c r="P135" s="24">
        <v>483</v>
      </c>
      <c r="Q135" s="23">
        <v>316</v>
      </c>
      <c r="R135" s="24">
        <v>313</v>
      </c>
      <c r="S135" s="23">
        <v>294</v>
      </c>
      <c r="T135" s="24">
        <v>107</v>
      </c>
      <c r="U135" s="23">
        <v>130</v>
      </c>
      <c r="V135" s="24">
        <v>107</v>
      </c>
      <c r="W135" s="23">
        <v>130</v>
      </c>
      <c r="X135" s="24">
        <v>0</v>
      </c>
      <c r="Y135" s="20">
        <v>38</v>
      </c>
      <c r="Z135" s="19">
        <v>787</v>
      </c>
      <c r="AA135" s="23">
        <v>510</v>
      </c>
      <c r="AB135" s="24">
        <v>305</v>
      </c>
      <c r="AC135" s="23">
        <v>318</v>
      </c>
      <c r="AD135" s="24">
        <v>305</v>
      </c>
      <c r="AE135" s="23">
        <v>318</v>
      </c>
      <c r="AF135" s="24">
        <v>0</v>
      </c>
      <c r="AG135" s="23">
        <v>19</v>
      </c>
      <c r="AH135" s="24">
        <v>425</v>
      </c>
      <c r="AI135" s="23">
        <v>240</v>
      </c>
      <c r="AJ135" s="24">
        <v>312</v>
      </c>
      <c r="AK135" s="23">
        <v>218</v>
      </c>
      <c r="AL135" s="24">
        <v>113</v>
      </c>
      <c r="AM135" s="23">
        <v>100</v>
      </c>
      <c r="AN135" s="24">
        <v>57</v>
      </c>
      <c r="AO135" s="23">
        <v>59</v>
      </c>
      <c r="AP135" s="24">
        <v>46</v>
      </c>
      <c r="AQ135" s="23">
        <v>57</v>
      </c>
      <c r="AR135" s="24">
        <v>11</v>
      </c>
      <c r="AS135" s="20">
        <v>18</v>
      </c>
      <c r="AT135" s="19">
        <v>4810</v>
      </c>
      <c r="AU135" s="23">
        <v>1049</v>
      </c>
      <c r="AV135" s="24">
        <v>1600</v>
      </c>
      <c r="AW135" s="23">
        <v>470</v>
      </c>
      <c r="AX135" s="24">
        <v>1383</v>
      </c>
      <c r="AY135" s="23">
        <v>424</v>
      </c>
      <c r="AZ135" s="24">
        <v>217</v>
      </c>
      <c r="BA135" s="23">
        <v>173</v>
      </c>
      <c r="BB135" s="24">
        <v>2875</v>
      </c>
      <c r="BC135" s="23">
        <v>665</v>
      </c>
      <c r="BD135" s="24">
        <v>2370</v>
      </c>
      <c r="BE135" s="23">
        <v>553</v>
      </c>
      <c r="BF135" s="24">
        <v>505</v>
      </c>
      <c r="BG135" s="23">
        <v>266</v>
      </c>
      <c r="BH135" s="24">
        <v>335</v>
      </c>
      <c r="BI135" s="23">
        <v>122</v>
      </c>
      <c r="BJ135" s="24">
        <v>290</v>
      </c>
      <c r="BK135" s="23">
        <v>111</v>
      </c>
      <c r="BL135" s="24">
        <v>45</v>
      </c>
      <c r="BM135" s="20">
        <v>55</v>
      </c>
      <c r="BN135" s="19">
        <v>8426</v>
      </c>
      <c r="BO135" s="23">
        <v>981</v>
      </c>
      <c r="BP135" s="24">
        <v>1721</v>
      </c>
      <c r="BQ135" s="23">
        <v>456</v>
      </c>
      <c r="BR135" s="24">
        <v>1721</v>
      </c>
      <c r="BS135" s="23">
        <v>456</v>
      </c>
      <c r="BT135" s="26">
        <v>0</v>
      </c>
      <c r="BU135" s="23">
        <v>19</v>
      </c>
      <c r="BV135" s="24">
        <v>5857</v>
      </c>
      <c r="BW135" s="23">
        <v>585</v>
      </c>
      <c r="BX135" s="24">
        <v>5708</v>
      </c>
      <c r="BY135" s="23">
        <v>580</v>
      </c>
      <c r="BZ135" s="24">
        <v>149</v>
      </c>
      <c r="CA135" s="23">
        <v>81</v>
      </c>
      <c r="CB135" s="24">
        <v>848</v>
      </c>
      <c r="CC135" s="23">
        <v>201</v>
      </c>
      <c r="CD135" s="24">
        <v>806</v>
      </c>
      <c r="CE135" s="23">
        <v>197</v>
      </c>
      <c r="CF135" s="24">
        <v>42</v>
      </c>
      <c r="CG135" s="20">
        <v>54</v>
      </c>
    </row>
    <row r="136" spans="1:85" x14ac:dyDescent="0.3">
      <c r="A136" t="s">
        <v>271</v>
      </c>
      <c r="B136">
        <v>20868</v>
      </c>
      <c r="C136" t="s">
        <v>272</v>
      </c>
      <c r="D136" s="19">
        <v>701</v>
      </c>
      <c r="E136" s="20">
        <v>225</v>
      </c>
      <c r="F136" s="19">
        <v>0</v>
      </c>
      <c r="G136" s="23">
        <v>24</v>
      </c>
      <c r="H136" s="24">
        <v>0</v>
      </c>
      <c r="I136" s="23">
        <v>24</v>
      </c>
      <c r="J136" s="24">
        <v>0</v>
      </c>
      <c r="K136" s="23">
        <v>24</v>
      </c>
      <c r="L136" s="24">
        <v>0</v>
      </c>
      <c r="M136" s="23">
        <v>24</v>
      </c>
      <c r="N136" s="24">
        <v>0</v>
      </c>
      <c r="O136" s="23">
        <v>24</v>
      </c>
      <c r="P136" s="24">
        <v>0</v>
      </c>
      <c r="Q136" s="23">
        <v>24</v>
      </c>
      <c r="R136" s="24">
        <v>0</v>
      </c>
      <c r="S136" s="23">
        <v>24</v>
      </c>
      <c r="T136" s="24">
        <v>0</v>
      </c>
      <c r="U136" s="23">
        <v>24</v>
      </c>
      <c r="V136" s="24">
        <v>0</v>
      </c>
      <c r="W136" s="23">
        <v>24</v>
      </c>
      <c r="X136" s="24">
        <v>0</v>
      </c>
      <c r="Y136" s="20">
        <v>24</v>
      </c>
      <c r="Z136" s="19">
        <v>0</v>
      </c>
      <c r="AA136" s="23">
        <v>12</v>
      </c>
      <c r="AB136" s="24">
        <v>0</v>
      </c>
      <c r="AC136" s="23">
        <v>12</v>
      </c>
      <c r="AD136" s="24">
        <v>0</v>
      </c>
      <c r="AE136" s="23">
        <v>12</v>
      </c>
      <c r="AF136" s="24">
        <v>0</v>
      </c>
      <c r="AG136" s="23">
        <v>12</v>
      </c>
      <c r="AH136" s="24">
        <v>0</v>
      </c>
      <c r="AI136" s="23">
        <v>12</v>
      </c>
      <c r="AJ136" s="24">
        <v>0</v>
      </c>
      <c r="AK136" s="23">
        <v>12</v>
      </c>
      <c r="AL136" s="24">
        <v>0</v>
      </c>
      <c r="AM136" s="23">
        <v>12</v>
      </c>
      <c r="AN136" s="24">
        <v>0</v>
      </c>
      <c r="AO136" s="23">
        <v>12</v>
      </c>
      <c r="AP136" s="24">
        <v>0</v>
      </c>
      <c r="AQ136" s="23">
        <v>12</v>
      </c>
      <c r="AR136" s="24">
        <v>0</v>
      </c>
      <c r="AS136" s="20">
        <v>12</v>
      </c>
      <c r="AT136" s="19">
        <v>111</v>
      </c>
      <c r="AU136" s="23">
        <v>131</v>
      </c>
      <c r="AV136" s="24">
        <v>21</v>
      </c>
      <c r="AW136" s="23">
        <v>34</v>
      </c>
      <c r="AX136" s="24">
        <v>21</v>
      </c>
      <c r="AY136" s="23">
        <v>34</v>
      </c>
      <c r="AZ136" s="24">
        <v>0</v>
      </c>
      <c r="BA136" s="23">
        <v>12</v>
      </c>
      <c r="BB136" s="24">
        <v>73</v>
      </c>
      <c r="BC136" s="23">
        <v>90</v>
      </c>
      <c r="BD136" s="24">
        <v>43</v>
      </c>
      <c r="BE136" s="23">
        <v>48</v>
      </c>
      <c r="BF136" s="24">
        <v>30</v>
      </c>
      <c r="BG136" s="23">
        <v>47</v>
      </c>
      <c r="BH136" s="24">
        <v>17</v>
      </c>
      <c r="BI136" s="23">
        <v>26</v>
      </c>
      <c r="BJ136" s="24">
        <v>17</v>
      </c>
      <c r="BK136" s="23">
        <v>26</v>
      </c>
      <c r="BL136" s="24">
        <v>0</v>
      </c>
      <c r="BM136" s="20">
        <v>12</v>
      </c>
      <c r="BN136" s="19">
        <v>590</v>
      </c>
      <c r="BO136" s="23">
        <v>217</v>
      </c>
      <c r="BP136" s="24">
        <v>142</v>
      </c>
      <c r="BQ136" s="23">
        <v>96</v>
      </c>
      <c r="BR136" s="24">
        <v>142</v>
      </c>
      <c r="BS136" s="23">
        <v>96</v>
      </c>
      <c r="BT136" s="26">
        <v>0</v>
      </c>
      <c r="BU136" s="23">
        <v>12</v>
      </c>
      <c r="BV136" s="24">
        <v>346</v>
      </c>
      <c r="BW136" s="23">
        <v>149</v>
      </c>
      <c r="BX136" s="24">
        <v>326</v>
      </c>
      <c r="BY136" s="23">
        <v>153</v>
      </c>
      <c r="BZ136" s="24">
        <v>20</v>
      </c>
      <c r="CA136" s="23">
        <v>33</v>
      </c>
      <c r="CB136" s="24">
        <v>102</v>
      </c>
      <c r="CC136" s="23">
        <v>75</v>
      </c>
      <c r="CD136" s="24">
        <v>102</v>
      </c>
      <c r="CE136" s="23">
        <v>75</v>
      </c>
      <c r="CF136" s="24">
        <v>0</v>
      </c>
      <c r="CG136" s="20">
        <v>12</v>
      </c>
    </row>
    <row r="137" spans="1:85" x14ac:dyDescent="0.3">
      <c r="A137" t="s">
        <v>273</v>
      </c>
      <c r="B137">
        <v>20871</v>
      </c>
      <c r="C137" t="s">
        <v>274</v>
      </c>
      <c r="D137" s="19">
        <v>20296</v>
      </c>
      <c r="E137" s="20">
        <v>819</v>
      </c>
      <c r="F137" s="19">
        <v>1423</v>
      </c>
      <c r="G137" s="23">
        <v>837</v>
      </c>
      <c r="H137" s="24">
        <v>623</v>
      </c>
      <c r="I137" s="23">
        <v>466</v>
      </c>
      <c r="J137" s="24">
        <v>604</v>
      </c>
      <c r="K137" s="23">
        <v>470</v>
      </c>
      <c r="L137" s="24">
        <v>19</v>
      </c>
      <c r="M137" s="23">
        <v>54</v>
      </c>
      <c r="N137" s="24">
        <v>659</v>
      </c>
      <c r="O137" s="23">
        <v>416</v>
      </c>
      <c r="P137" s="24">
        <v>510</v>
      </c>
      <c r="Q137" s="23">
        <v>353</v>
      </c>
      <c r="R137" s="24">
        <v>149</v>
      </c>
      <c r="S137" s="23">
        <v>152</v>
      </c>
      <c r="T137" s="24">
        <v>141</v>
      </c>
      <c r="U137" s="23">
        <v>126</v>
      </c>
      <c r="V137" s="24">
        <v>141</v>
      </c>
      <c r="W137" s="23">
        <v>126</v>
      </c>
      <c r="X137" s="24">
        <v>0</v>
      </c>
      <c r="Y137" s="20">
        <v>44</v>
      </c>
      <c r="Z137" s="19">
        <v>422</v>
      </c>
      <c r="AA137" s="23">
        <v>216</v>
      </c>
      <c r="AB137" s="24">
        <v>171</v>
      </c>
      <c r="AC137" s="23">
        <v>109</v>
      </c>
      <c r="AD137" s="24">
        <v>171</v>
      </c>
      <c r="AE137" s="23">
        <v>109</v>
      </c>
      <c r="AF137" s="24">
        <v>0</v>
      </c>
      <c r="AG137" s="23">
        <v>22</v>
      </c>
      <c r="AH137" s="24">
        <v>211</v>
      </c>
      <c r="AI137" s="23">
        <v>130</v>
      </c>
      <c r="AJ137" s="24">
        <v>162</v>
      </c>
      <c r="AK137" s="23">
        <v>125</v>
      </c>
      <c r="AL137" s="24">
        <v>49</v>
      </c>
      <c r="AM137" s="23">
        <v>57</v>
      </c>
      <c r="AN137" s="24">
        <v>40</v>
      </c>
      <c r="AO137" s="23">
        <v>60</v>
      </c>
      <c r="AP137" s="24">
        <v>40</v>
      </c>
      <c r="AQ137" s="23">
        <v>60</v>
      </c>
      <c r="AR137" s="24">
        <v>0</v>
      </c>
      <c r="AS137" s="20">
        <v>22</v>
      </c>
      <c r="AT137" s="19">
        <v>4617</v>
      </c>
      <c r="AU137" s="23">
        <v>899</v>
      </c>
      <c r="AV137" s="24">
        <v>1839</v>
      </c>
      <c r="AW137" s="23">
        <v>375</v>
      </c>
      <c r="AX137" s="24">
        <v>1818</v>
      </c>
      <c r="AY137" s="23">
        <v>381</v>
      </c>
      <c r="AZ137" s="24">
        <v>21</v>
      </c>
      <c r="BA137" s="23">
        <v>34</v>
      </c>
      <c r="BB137" s="24">
        <v>2475</v>
      </c>
      <c r="BC137" s="23">
        <v>510</v>
      </c>
      <c r="BD137" s="24">
        <v>2315</v>
      </c>
      <c r="BE137" s="23">
        <v>506</v>
      </c>
      <c r="BF137" s="24">
        <v>160</v>
      </c>
      <c r="BG137" s="23">
        <v>103</v>
      </c>
      <c r="BH137" s="24">
        <v>303</v>
      </c>
      <c r="BI137" s="23">
        <v>143</v>
      </c>
      <c r="BJ137" s="24">
        <v>285</v>
      </c>
      <c r="BK137" s="23">
        <v>140</v>
      </c>
      <c r="BL137" s="24">
        <v>18</v>
      </c>
      <c r="BM137" s="20">
        <v>28</v>
      </c>
      <c r="BN137" s="19">
        <v>13834</v>
      </c>
      <c r="BO137" s="23">
        <v>1069</v>
      </c>
      <c r="BP137" s="24">
        <v>4367</v>
      </c>
      <c r="BQ137" s="23">
        <v>507</v>
      </c>
      <c r="BR137" s="24">
        <v>4223</v>
      </c>
      <c r="BS137" s="23">
        <v>506</v>
      </c>
      <c r="BT137" s="26">
        <v>144</v>
      </c>
      <c r="BU137" s="23">
        <v>105</v>
      </c>
      <c r="BV137" s="24">
        <v>8592</v>
      </c>
      <c r="BW137" s="23">
        <v>645</v>
      </c>
      <c r="BX137" s="24">
        <v>8187</v>
      </c>
      <c r="BY137" s="23">
        <v>615</v>
      </c>
      <c r="BZ137" s="24">
        <v>405</v>
      </c>
      <c r="CA137" s="23">
        <v>187</v>
      </c>
      <c r="CB137" s="24">
        <v>875</v>
      </c>
      <c r="CC137" s="23">
        <v>208</v>
      </c>
      <c r="CD137" s="24">
        <v>855</v>
      </c>
      <c r="CE137" s="23">
        <v>206</v>
      </c>
      <c r="CF137" s="24">
        <v>20</v>
      </c>
      <c r="CG137" s="20">
        <v>32</v>
      </c>
    </row>
    <row r="138" spans="1:85" x14ac:dyDescent="0.3">
      <c r="A138" t="s">
        <v>275</v>
      </c>
      <c r="B138">
        <v>20872</v>
      </c>
      <c r="C138" t="s">
        <v>276</v>
      </c>
      <c r="D138" s="19">
        <v>13205</v>
      </c>
      <c r="E138" s="20">
        <v>693</v>
      </c>
      <c r="F138" s="19">
        <v>1045</v>
      </c>
      <c r="G138" s="23">
        <v>534</v>
      </c>
      <c r="H138" s="24">
        <v>457</v>
      </c>
      <c r="I138" s="23">
        <v>305</v>
      </c>
      <c r="J138" s="24">
        <v>445</v>
      </c>
      <c r="K138" s="23">
        <v>299</v>
      </c>
      <c r="L138" s="24">
        <v>12</v>
      </c>
      <c r="M138" s="23">
        <v>37</v>
      </c>
      <c r="N138" s="24">
        <v>501</v>
      </c>
      <c r="O138" s="23">
        <v>259</v>
      </c>
      <c r="P138" s="24">
        <v>429</v>
      </c>
      <c r="Q138" s="23">
        <v>236</v>
      </c>
      <c r="R138" s="24">
        <v>72</v>
      </c>
      <c r="S138" s="23">
        <v>71</v>
      </c>
      <c r="T138" s="24">
        <v>87</v>
      </c>
      <c r="U138" s="23">
        <v>76</v>
      </c>
      <c r="V138" s="24">
        <v>51</v>
      </c>
      <c r="W138" s="23">
        <v>49</v>
      </c>
      <c r="X138" s="24">
        <v>36</v>
      </c>
      <c r="Y138" s="20">
        <v>76</v>
      </c>
      <c r="Z138" s="19">
        <v>723</v>
      </c>
      <c r="AA138" s="23">
        <v>254</v>
      </c>
      <c r="AB138" s="24">
        <v>197</v>
      </c>
      <c r="AC138" s="23">
        <v>94</v>
      </c>
      <c r="AD138" s="24">
        <v>177</v>
      </c>
      <c r="AE138" s="23">
        <v>90</v>
      </c>
      <c r="AF138" s="24">
        <v>20</v>
      </c>
      <c r="AG138" s="23">
        <v>25</v>
      </c>
      <c r="AH138" s="24">
        <v>321</v>
      </c>
      <c r="AI138" s="23">
        <v>138</v>
      </c>
      <c r="AJ138" s="24">
        <v>271</v>
      </c>
      <c r="AK138" s="23">
        <v>110</v>
      </c>
      <c r="AL138" s="24">
        <v>50</v>
      </c>
      <c r="AM138" s="23">
        <v>58</v>
      </c>
      <c r="AN138" s="24">
        <v>205</v>
      </c>
      <c r="AO138" s="23">
        <v>104</v>
      </c>
      <c r="AP138" s="24">
        <v>205</v>
      </c>
      <c r="AQ138" s="23">
        <v>104</v>
      </c>
      <c r="AR138" s="24">
        <v>0</v>
      </c>
      <c r="AS138" s="20">
        <v>19</v>
      </c>
      <c r="AT138" s="19">
        <v>2747</v>
      </c>
      <c r="AU138" s="23">
        <v>552</v>
      </c>
      <c r="AV138" s="24">
        <v>718</v>
      </c>
      <c r="AW138" s="23">
        <v>200</v>
      </c>
      <c r="AX138" s="24">
        <v>718</v>
      </c>
      <c r="AY138" s="23">
        <v>200</v>
      </c>
      <c r="AZ138" s="24">
        <v>0</v>
      </c>
      <c r="BA138" s="23">
        <v>19</v>
      </c>
      <c r="BB138" s="24">
        <v>1754</v>
      </c>
      <c r="BC138" s="23">
        <v>352</v>
      </c>
      <c r="BD138" s="24">
        <v>1654</v>
      </c>
      <c r="BE138" s="23">
        <v>357</v>
      </c>
      <c r="BF138" s="24">
        <v>100</v>
      </c>
      <c r="BG138" s="23">
        <v>66</v>
      </c>
      <c r="BH138" s="24">
        <v>275</v>
      </c>
      <c r="BI138" s="23">
        <v>91</v>
      </c>
      <c r="BJ138" s="24">
        <v>275</v>
      </c>
      <c r="BK138" s="23">
        <v>91</v>
      </c>
      <c r="BL138" s="24">
        <v>0</v>
      </c>
      <c r="BM138" s="20">
        <v>19</v>
      </c>
      <c r="BN138" s="19">
        <v>8690</v>
      </c>
      <c r="BO138" s="23">
        <v>715</v>
      </c>
      <c r="BP138" s="24">
        <v>2122</v>
      </c>
      <c r="BQ138" s="23">
        <v>322</v>
      </c>
      <c r="BR138" s="24">
        <v>2098</v>
      </c>
      <c r="BS138" s="23">
        <v>314</v>
      </c>
      <c r="BT138" s="26">
        <v>24</v>
      </c>
      <c r="BU138" s="23">
        <v>29</v>
      </c>
      <c r="BV138" s="24">
        <v>5805</v>
      </c>
      <c r="BW138" s="23">
        <v>468</v>
      </c>
      <c r="BX138" s="24">
        <v>5694</v>
      </c>
      <c r="BY138" s="23">
        <v>442</v>
      </c>
      <c r="BZ138" s="24">
        <v>111</v>
      </c>
      <c r="CA138" s="23">
        <v>80</v>
      </c>
      <c r="CB138" s="24">
        <v>763</v>
      </c>
      <c r="CC138" s="23">
        <v>127</v>
      </c>
      <c r="CD138" s="24">
        <v>763</v>
      </c>
      <c r="CE138" s="23">
        <v>127</v>
      </c>
      <c r="CF138" s="24">
        <v>0</v>
      </c>
      <c r="CG138" s="20">
        <v>19</v>
      </c>
    </row>
    <row r="139" spans="1:85" x14ac:dyDescent="0.3">
      <c r="A139" t="s">
        <v>277</v>
      </c>
      <c r="B139">
        <v>20874</v>
      </c>
      <c r="C139" t="s">
        <v>278</v>
      </c>
      <c r="D139" s="19">
        <v>60509</v>
      </c>
      <c r="E139" s="20">
        <v>1498</v>
      </c>
      <c r="F139" s="19">
        <v>7594</v>
      </c>
      <c r="G139" s="23">
        <v>1876</v>
      </c>
      <c r="H139" s="24">
        <v>3084</v>
      </c>
      <c r="I139" s="23">
        <v>1073</v>
      </c>
      <c r="J139" s="24">
        <v>2769</v>
      </c>
      <c r="K139" s="23">
        <v>1049</v>
      </c>
      <c r="L139" s="24">
        <v>315</v>
      </c>
      <c r="M139" s="23">
        <v>312</v>
      </c>
      <c r="N139" s="24">
        <v>3787</v>
      </c>
      <c r="O139" s="23">
        <v>875</v>
      </c>
      <c r="P139" s="24">
        <v>2849</v>
      </c>
      <c r="Q139" s="23">
        <v>755</v>
      </c>
      <c r="R139" s="24">
        <v>938</v>
      </c>
      <c r="S139" s="23">
        <v>406</v>
      </c>
      <c r="T139" s="24">
        <v>723</v>
      </c>
      <c r="U139" s="23">
        <v>311</v>
      </c>
      <c r="V139" s="24">
        <v>627</v>
      </c>
      <c r="W139" s="23">
        <v>274</v>
      </c>
      <c r="X139" s="24">
        <v>96</v>
      </c>
      <c r="Y139" s="20">
        <v>128</v>
      </c>
      <c r="Z139" s="19">
        <v>4980</v>
      </c>
      <c r="AA139" s="23">
        <v>1450</v>
      </c>
      <c r="AB139" s="24">
        <v>2325</v>
      </c>
      <c r="AC139" s="23">
        <v>776</v>
      </c>
      <c r="AD139" s="24">
        <v>2325</v>
      </c>
      <c r="AE139" s="23">
        <v>776</v>
      </c>
      <c r="AF139" s="24">
        <v>0</v>
      </c>
      <c r="AG139" s="23">
        <v>28</v>
      </c>
      <c r="AH139" s="24">
        <v>2461</v>
      </c>
      <c r="AI139" s="23">
        <v>696</v>
      </c>
      <c r="AJ139" s="24">
        <v>1923</v>
      </c>
      <c r="AK139" s="23">
        <v>587</v>
      </c>
      <c r="AL139" s="24">
        <v>538</v>
      </c>
      <c r="AM139" s="23">
        <v>251</v>
      </c>
      <c r="AN139" s="24">
        <v>194</v>
      </c>
      <c r="AO139" s="23">
        <v>105</v>
      </c>
      <c r="AP139" s="24">
        <v>178</v>
      </c>
      <c r="AQ139" s="23">
        <v>102</v>
      </c>
      <c r="AR139" s="24">
        <v>16</v>
      </c>
      <c r="AS139" s="20">
        <v>25</v>
      </c>
      <c r="AT139" s="19">
        <v>16576</v>
      </c>
      <c r="AU139" s="23">
        <v>1576</v>
      </c>
      <c r="AV139" s="24">
        <v>4695</v>
      </c>
      <c r="AW139" s="23">
        <v>754</v>
      </c>
      <c r="AX139" s="24">
        <v>4430</v>
      </c>
      <c r="AY139" s="23">
        <v>702</v>
      </c>
      <c r="AZ139" s="24">
        <v>265</v>
      </c>
      <c r="BA139" s="23">
        <v>163</v>
      </c>
      <c r="BB139" s="24">
        <v>10821</v>
      </c>
      <c r="BC139" s="23">
        <v>1044</v>
      </c>
      <c r="BD139" s="24">
        <v>9368</v>
      </c>
      <c r="BE139" s="23">
        <v>911</v>
      </c>
      <c r="BF139" s="24">
        <v>1453</v>
      </c>
      <c r="BG139" s="23">
        <v>408</v>
      </c>
      <c r="BH139" s="24">
        <v>1060</v>
      </c>
      <c r="BI139" s="23">
        <v>245</v>
      </c>
      <c r="BJ139" s="24">
        <v>1060</v>
      </c>
      <c r="BK139" s="23">
        <v>245</v>
      </c>
      <c r="BL139" s="24">
        <v>0</v>
      </c>
      <c r="BM139" s="20">
        <v>28</v>
      </c>
      <c r="BN139" s="19">
        <v>31359</v>
      </c>
      <c r="BO139" s="23">
        <v>2003</v>
      </c>
      <c r="BP139" s="24">
        <v>6886</v>
      </c>
      <c r="BQ139" s="23">
        <v>749</v>
      </c>
      <c r="BR139" s="24">
        <v>6767</v>
      </c>
      <c r="BS139" s="23">
        <v>735</v>
      </c>
      <c r="BT139" s="26">
        <v>119</v>
      </c>
      <c r="BU139" s="23">
        <v>80</v>
      </c>
      <c r="BV139" s="24">
        <v>22341</v>
      </c>
      <c r="BW139" s="23">
        <v>1372</v>
      </c>
      <c r="BX139" s="24">
        <v>21532</v>
      </c>
      <c r="BY139" s="23">
        <v>1312</v>
      </c>
      <c r="BZ139" s="24">
        <v>809</v>
      </c>
      <c r="CA139" s="23">
        <v>278</v>
      </c>
      <c r="CB139" s="24">
        <v>2132</v>
      </c>
      <c r="CC139" s="23">
        <v>333</v>
      </c>
      <c r="CD139" s="24">
        <v>2056</v>
      </c>
      <c r="CE139" s="23">
        <v>324</v>
      </c>
      <c r="CF139" s="24">
        <v>76</v>
      </c>
      <c r="CG139" s="20">
        <v>72</v>
      </c>
    </row>
    <row r="140" spans="1:85" x14ac:dyDescent="0.3">
      <c r="A140" t="s">
        <v>279</v>
      </c>
      <c r="B140">
        <v>20876</v>
      </c>
      <c r="C140" t="s">
        <v>280</v>
      </c>
      <c r="D140" s="19">
        <v>27280</v>
      </c>
      <c r="E140" s="20">
        <v>1172</v>
      </c>
      <c r="F140" s="19">
        <v>2971</v>
      </c>
      <c r="G140" s="23">
        <v>871</v>
      </c>
      <c r="H140" s="24">
        <v>1074</v>
      </c>
      <c r="I140" s="23">
        <v>489</v>
      </c>
      <c r="J140" s="24">
        <v>1018</v>
      </c>
      <c r="K140" s="23">
        <v>478</v>
      </c>
      <c r="L140" s="24">
        <v>56</v>
      </c>
      <c r="M140" s="23">
        <v>83</v>
      </c>
      <c r="N140" s="24">
        <v>1615</v>
      </c>
      <c r="O140" s="23">
        <v>468</v>
      </c>
      <c r="P140" s="24">
        <v>1235</v>
      </c>
      <c r="Q140" s="23">
        <v>381</v>
      </c>
      <c r="R140" s="24">
        <v>380</v>
      </c>
      <c r="S140" s="23">
        <v>228</v>
      </c>
      <c r="T140" s="24">
        <v>282</v>
      </c>
      <c r="U140" s="23">
        <v>168</v>
      </c>
      <c r="V140" s="24">
        <v>282</v>
      </c>
      <c r="W140" s="23">
        <v>168</v>
      </c>
      <c r="X140" s="24">
        <v>0</v>
      </c>
      <c r="Y140" s="20">
        <v>44</v>
      </c>
      <c r="Z140" s="19">
        <v>2151</v>
      </c>
      <c r="AA140" s="23">
        <v>522</v>
      </c>
      <c r="AB140" s="24">
        <v>905</v>
      </c>
      <c r="AC140" s="23">
        <v>283</v>
      </c>
      <c r="AD140" s="24">
        <v>905</v>
      </c>
      <c r="AE140" s="23">
        <v>283</v>
      </c>
      <c r="AF140" s="24">
        <v>0</v>
      </c>
      <c r="AG140" s="23">
        <v>22</v>
      </c>
      <c r="AH140" s="24">
        <v>1148</v>
      </c>
      <c r="AI140" s="23">
        <v>294</v>
      </c>
      <c r="AJ140" s="24">
        <v>855</v>
      </c>
      <c r="AK140" s="23">
        <v>260</v>
      </c>
      <c r="AL140" s="24">
        <v>293</v>
      </c>
      <c r="AM140" s="23">
        <v>158</v>
      </c>
      <c r="AN140" s="24">
        <v>98</v>
      </c>
      <c r="AO140" s="23">
        <v>69</v>
      </c>
      <c r="AP140" s="24">
        <v>98</v>
      </c>
      <c r="AQ140" s="23">
        <v>69</v>
      </c>
      <c r="AR140" s="24">
        <v>0</v>
      </c>
      <c r="AS140" s="20">
        <v>22</v>
      </c>
      <c r="AT140" s="19">
        <v>6589</v>
      </c>
      <c r="AU140" s="23">
        <v>1059</v>
      </c>
      <c r="AV140" s="24">
        <v>1729</v>
      </c>
      <c r="AW140" s="23">
        <v>394</v>
      </c>
      <c r="AX140" s="24">
        <v>1620</v>
      </c>
      <c r="AY140" s="23">
        <v>384</v>
      </c>
      <c r="AZ140" s="24">
        <v>109</v>
      </c>
      <c r="BA140" s="23">
        <v>112</v>
      </c>
      <c r="BB140" s="24">
        <v>4339</v>
      </c>
      <c r="BC140" s="23">
        <v>718</v>
      </c>
      <c r="BD140" s="24">
        <v>3276</v>
      </c>
      <c r="BE140" s="23">
        <v>568</v>
      </c>
      <c r="BF140" s="24">
        <v>1063</v>
      </c>
      <c r="BG140" s="23">
        <v>314</v>
      </c>
      <c r="BH140" s="24">
        <v>521</v>
      </c>
      <c r="BI140" s="23">
        <v>190</v>
      </c>
      <c r="BJ140" s="24">
        <v>512</v>
      </c>
      <c r="BK140" s="23">
        <v>188</v>
      </c>
      <c r="BL140" s="24">
        <v>9</v>
      </c>
      <c r="BM140" s="20">
        <v>14</v>
      </c>
      <c r="BN140" s="19">
        <v>15569</v>
      </c>
      <c r="BO140" s="23">
        <v>1220</v>
      </c>
      <c r="BP140" s="24">
        <v>3216</v>
      </c>
      <c r="BQ140" s="23">
        <v>487</v>
      </c>
      <c r="BR140" s="24">
        <v>3193</v>
      </c>
      <c r="BS140" s="23">
        <v>483</v>
      </c>
      <c r="BT140" s="26">
        <v>23</v>
      </c>
      <c r="BU140" s="23">
        <v>25</v>
      </c>
      <c r="BV140" s="24">
        <v>11040</v>
      </c>
      <c r="BW140" s="23">
        <v>779</v>
      </c>
      <c r="BX140" s="24">
        <v>10673</v>
      </c>
      <c r="BY140" s="23">
        <v>767</v>
      </c>
      <c r="BZ140" s="24">
        <v>367</v>
      </c>
      <c r="CA140" s="23">
        <v>141</v>
      </c>
      <c r="CB140" s="24">
        <v>1313</v>
      </c>
      <c r="CC140" s="23">
        <v>252</v>
      </c>
      <c r="CD140" s="24">
        <v>1171</v>
      </c>
      <c r="CE140" s="23">
        <v>195</v>
      </c>
      <c r="CF140" s="24">
        <v>142</v>
      </c>
      <c r="CG140" s="20">
        <v>111</v>
      </c>
    </row>
    <row r="141" spans="1:85" x14ac:dyDescent="0.3">
      <c r="A141" t="s">
        <v>281</v>
      </c>
      <c r="B141">
        <v>20877</v>
      </c>
      <c r="C141" t="s">
        <v>282</v>
      </c>
      <c r="D141" s="19">
        <v>38162</v>
      </c>
      <c r="E141" s="20">
        <v>1260</v>
      </c>
      <c r="F141" s="19">
        <v>8009</v>
      </c>
      <c r="G141" s="23">
        <v>1787</v>
      </c>
      <c r="H141" s="24">
        <v>3312</v>
      </c>
      <c r="I141" s="23">
        <v>1037</v>
      </c>
      <c r="J141" s="24">
        <v>3198</v>
      </c>
      <c r="K141" s="23">
        <v>985</v>
      </c>
      <c r="L141" s="24">
        <v>114</v>
      </c>
      <c r="M141" s="23">
        <v>174</v>
      </c>
      <c r="N141" s="24">
        <v>3987</v>
      </c>
      <c r="O141" s="23">
        <v>895</v>
      </c>
      <c r="P141" s="24">
        <v>1959</v>
      </c>
      <c r="Q141" s="23">
        <v>555</v>
      </c>
      <c r="R141" s="24">
        <v>2028</v>
      </c>
      <c r="S141" s="23">
        <v>724</v>
      </c>
      <c r="T141" s="24">
        <v>710</v>
      </c>
      <c r="U141" s="23">
        <v>282</v>
      </c>
      <c r="V141" s="24">
        <v>699</v>
      </c>
      <c r="W141" s="23">
        <v>280</v>
      </c>
      <c r="X141" s="24">
        <v>11</v>
      </c>
      <c r="Y141" s="20">
        <v>41</v>
      </c>
      <c r="Z141" s="19">
        <v>5243</v>
      </c>
      <c r="AA141" s="23">
        <v>1225</v>
      </c>
      <c r="AB141" s="24">
        <v>1596</v>
      </c>
      <c r="AC141" s="23">
        <v>580</v>
      </c>
      <c r="AD141" s="24">
        <v>1440</v>
      </c>
      <c r="AE141" s="23">
        <v>509</v>
      </c>
      <c r="AF141" s="24">
        <v>156</v>
      </c>
      <c r="AG141" s="23">
        <v>115</v>
      </c>
      <c r="AH141" s="24">
        <v>3393</v>
      </c>
      <c r="AI141" s="23">
        <v>768</v>
      </c>
      <c r="AJ141" s="24">
        <v>1641</v>
      </c>
      <c r="AK141" s="23">
        <v>498</v>
      </c>
      <c r="AL141" s="24">
        <v>1752</v>
      </c>
      <c r="AM141" s="23">
        <v>518</v>
      </c>
      <c r="AN141" s="24">
        <v>254</v>
      </c>
      <c r="AO141" s="23">
        <v>98</v>
      </c>
      <c r="AP141" s="24">
        <v>211</v>
      </c>
      <c r="AQ141" s="23">
        <v>89</v>
      </c>
      <c r="AR141" s="24">
        <v>43</v>
      </c>
      <c r="AS141" s="20">
        <v>44</v>
      </c>
      <c r="AT141" s="19">
        <v>11985</v>
      </c>
      <c r="AU141" s="23">
        <v>1318</v>
      </c>
      <c r="AV141" s="24">
        <v>2757</v>
      </c>
      <c r="AW141" s="23">
        <v>495</v>
      </c>
      <c r="AX141" s="24">
        <v>2505</v>
      </c>
      <c r="AY141" s="23">
        <v>493</v>
      </c>
      <c r="AZ141" s="24">
        <v>252</v>
      </c>
      <c r="BA141" s="23">
        <v>150</v>
      </c>
      <c r="BB141" s="24">
        <v>7928</v>
      </c>
      <c r="BC141" s="23">
        <v>886</v>
      </c>
      <c r="BD141" s="24">
        <v>6037</v>
      </c>
      <c r="BE141" s="23">
        <v>679</v>
      </c>
      <c r="BF141" s="24">
        <v>1891</v>
      </c>
      <c r="BG141" s="23">
        <v>450</v>
      </c>
      <c r="BH141" s="24">
        <v>1300</v>
      </c>
      <c r="BI141" s="23">
        <v>302</v>
      </c>
      <c r="BJ141" s="24">
        <v>1187</v>
      </c>
      <c r="BK141" s="23">
        <v>295</v>
      </c>
      <c r="BL141" s="24">
        <v>113</v>
      </c>
      <c r="BM141" s="20">
        <v>93</v>
      </c>
      <c r="BN141" s="19">
        <v>12925</v>
      </c>
      <c r="BO141" s="23">
        <v>1124</v>
      </c>
      <c r="BP141" s="24">
        <v>1980</v>
      </c>
      <c r="BQ141" s="23">
        <v>383</v>
      </c>
      <c r="BR141" s="24">
        <v>1956</v>
      </c>
      <c r="BS141" s="23">
        <v>382</v>
      </c>
      <c r="BT141" s="26">
        <v>24</v>
      </c>
      <c r="BU141" s="23">
        <v>34</v>
      </c>
      <c r="BV141" s="24">
        <v>8802</v>
      </c>
      <c r="BW141" s="23">
        <v>857</v>
      </c>
      <c r="BX141" s="24">
        <v>8010</v>
      </c>
      <c r="BY141" s="23">
        <v>719</v>
      </c>
      <c r="BZ141" s="24">
        <v>792</v>
      </c>
      <c r="CA141" s="23">
        <v>369</v>
      </c>
      <c r="CB141" s="24">
        <v>2143</v>
      </c>
      <c r="CC141" s="23">
        <v>277</v>
      </c>
      <c r="CD141" s="24">
        <v>2130</v>
      </c>
      <c r="CE141" s="23">
        <v>283</v>
      </c>
      <c r="CF141" s="24">
        <v>13</v>
      </c>
      <c r="CG141" s="20">
        <v>19</v>
      </c>
    </row>
    <row r="142" spans="1:85" x14ac:dyDescent="0.3">
      <c r="A142" t="s">
        <v>283</v>
      </c>
      <c r="B142">
        <v>20878</v>
      </c>
      <c r="C142" t="s">
        <v>284</v>
      </c>
      <c r="D142" s="19">
        <v>64561</v>
      </c>
      <c r="E142" s="20">
        <v>1488</v>
      </c>
      <c r="F142" s="19">
        <v>4866</v>
      </c>
      <c r="G142" s="23">
        <v>1234</v>
      </c>
      <c r="H142" s="24">
        <v>1658</v>
      </c>
      <c r="I142" s="23">
        <v>645</v>
      </c>
      <c r="J142" s="24">
        <v>1618</v>
      </c>
      <c r="K142" s="23">
        <v>634</v>
      </c>
      <c r="L142" s="24">
        <v>40</v>
      </c>
      <c r="M142" s="23">
        <v>43</v>
      </c>
      <c r="N142" s="24">
        <v>2557</v>
      </c>
      <c r="O142" s="23">
        <v>634</v>
      </c>
      <c r="P142" s="24">
        <v>2000</v>
      </c>
      <c r="Q142" s="23">
        <v>513</v>
      </c>
      <c r="R142" s="24">
        <v>557</v>
      </c>
      <c r="S142" s="23">
        <v>299</v>
      </c>
      <c r="T142" s="24">
        <v>651</v>
      </c>
      <c r="U142" s="23">
        <v>263</v>
      </c>
      <c r="V142" s="24">
        <v>651</v>
      </c>
      <c r="W142" s="23">
        <v>263</v>
      </c>
      <c r="X142" s="24">
        <v>0</v>
      </c>
      <c r="Y142" s="20">
        <v>56</v>
      </c>
      <c r="Z142" s="19">
        <v>3905</v>
      </c>
      <c r="AA142" s="23">
        <v>852</v>
      </c>
      <c r="AB142" s="24">
        <v>1365</v>
      </c>
      <c r="AC142" s="23">
        <v>414</v>
      </c>
      <c r="AD142" s="24">
        <v>1098</v>
      </c>
      <c r="AE142" s="23">
        <v>343</v>
      </c>
      <c r="AF142" s="24">
        <v>267</v>
      </c>
      <c r="AG142" s="23">
        <v>207</v>
      </c>
      <c r="AH142" s="24">
        <v>2252</v>
      </c>
      <c r="AI142" s="23">
        <v>467</v>
      </c>
      <c r="AJ142" s="24">
        <v>1806</v>
      </c>
      <c r="AK142" s="23">
        <v>410</v>
      </c>
      <c r="AL142" s="24">
        <v>446</v>
      </c>
      <c r="AM142" s="23">
        <v>208</v>
      </c>
      <c r="AN142" s="24">
        <v>288</v>
      </c>
      <c r="AO142" s="23">
        <v>128</v>
      </c>
      <c r="AP142" s="24">
        <v>283</v>
      </c>
      <c r="AQ142" s="23">
        <v>127</v>
      </c>
      <c r="AR142" s="24">
        <v>5</v>
      </c>
      <c r="AS142" s="20">
        <v>7</v>
      </c>
      <c r="AT142" s="19">
        <v>11738</v>
      </c>
      <c r="AU142" s="23">
        <v>1487</v>
      </c>
      <c r="AV142" s="24">
        <v>3316</v>
      </c>
      <c r="AW142" s="23">
        <v>542</v>
      </c>
      <c r="AX142" s="24">
        <v>3130</v>
      </c>
      <c r="AY142" s="23">
        <v>526</v>
      </c>
      <c r="AZ142" s="24">
        <v>186</v>
      </c>
      <c r="BA142" s="23">
        <v>107</v>
      </c>
      <c r="BB142" s="24">
        <v>7249</v>
      </c>
      <c r="BC142" s="23">
        <v>1070</v>
      </c>
      <c r="BD142" s="24">
        <v>6164</v>
      </c>
      <c r="BE142" s="23">
        <v>891</v>
      </c>
      <c r="BF142" s="24">
        <v>1085</v>
      </c>
      <c r="BG142" s="23">
        <v>356</v>
      </c>
      <c r="BH142" s="24">
        <v>1173</v>
      </c>
      <c r="BI142" s="23">
        <v>222</v>
      </c>
      <c r="BJ142" s="24">
        <v>1080</v>
      </c>
      <c r="BK142" s="23">
        <v>213</v>
      </c>
      <c r="BL142" s="24">
        <v>93</v>
      </c>
      <c r="BM142" s="20">
        <v>73</v>
      </c>
      <c r="BN142" s="19">
        <v>44052</v>
      </c>
      <c r="BO142" s="23">
        <v>1664</v>
      </c>
      <c r="BP142" s="24">
        <v>10214</v>
      </c>
      <c r="BQ142" s="23">
        <v>645</v>
      </c>
      <c r="BR142" s="24">
        <v>10125</v>
      </c>
      <c r="BS142" s="23">
        <v>623</v>
      </c>
      <c r="BT142" s="26">
        <v>89</v>
      </c>
      <c r="BU142" s="23">
        <v>82</v>
      </c>
      <c r="BV142" s="24">
        <v>28619</v>
      </c>
      <c r="BW142" s="23">
        <v>1115</v>
      </c>
      <c r="BX142" s="24">
        <v>28073</v>
      </c>
      <c r="BY142" s="23">
        <v>1080</v>
      </c>
      <c r="BZ142" s="24">
        <v>546</v>
      </c>
      <c r="CA142" s="23">
        <v>187</v>
      </c>
      <c r="CB142" s="24">
        <v>5219</v>
      </c>
      <c r="CC142" s="23">
        <v>392</v>
      </c>
      <c r="CD142" s="24">
        <v>5115</v>
      </c>
      <c r="CE142" s="23">
        <v>387</v>
      </c>
      <c r="CF142" s="24">
        <v>104</v>
      </c>
      <c r="CG142" s="20">
        <v>77</v>
      </c>
    </row>
    <row r="143" spans="1:85" x14ac:dyDescent="0.3">
      <c r="A143" t="s">
        <v>285</v>
      </c>
      <c r="B143">
        <v>20879</v>
      </c>
      <c r="C143" t="s">
        <v>286</v>
      </c>
      <c r="D143" s="19">
        <v>26323</v>
      </c>
      <c r="E143" s="20">
        <v>1292</v>
      </c>
      <c r="F143" s="19">
        <v>3828</v>
      </c>
      <c r="G143" s="23">
        <v>1449</v>
      </c>
      <c r="H143" s="24">
        <v>1657</v>
      </c>
      <c r="I143" s="23">
        <v>940</v>
      </c>
      <c r="J143" s="24">
        <v>1657</v>
      </c>
      <c r="K143" s="23">
        <v>940</v>
      </c>
      <c r="L143" s="24">
        <v>0</v>
      </c>
      <c r="M143" s="23">
        <v>44</v>
      </c>
      <c r="N143" s="24">
        <v>1837</v>
      </c>
      <c r="O143" s="23">
        <v>625</v>
      </c>
      <c r="P143" s="24">
        <v>1404</v>
      </c>
      <c r="Q143" s="23">
        <v>457</v>
      </c>
      <c r="R143" s="24">
        <v>433</v>
      </c>
      <c r="S143" s="23">
        <v>336</v>
      </c>
      <c r="T143" s="24">
        <v>334</v>
      </c>
      <c r="U143" s="23">
        <v>183</v>
      </c>
      <c r="V143" s="24">
        <v>315</v>
      </c>
      <c r="W143" s="23">
        <v>178</v>
      </c>
      <c r="X143" s="24">
        <v>19</v>
      </c>
      <c r="Y143" s="20">
        <v>52</v>
      </c>
      <c r="Z143" s="19">
        <v>2089</v>
      </c>
      <c r="AA143" s="23">
        <v>651</v>
      </c>
      <c r="AB143" s="24">
        <v>848</v>
      </c>
      <c r="AC143" s="23">
        <v>375</v>
      </c>
      <c r="AD143" s="24">
        <v>831</v>
      </c>
      <c r="AE143" s="23">
        <v>368</v>
      </c>
      <c r="AF143" s="24">
        <v>17</v>
      </c>
      <c r="AG143" s="23">
        <v>28</v>
      </c>
      <c r="AH143" s="24">
        <v>1012</v>
      </c>
      <c r="AI143" s="23">
        <v>284</v>
      </c>
      <c r="AJ143" s="24">
        <v>767</v>
      </c>
      <c r="AK143" s="23">
        <v>217</v>
      </c>
      <c r="AL143" s="24">
        <v>245</v>
      </c>
      <c r="AM143" s="23">
        <v>135</v>
      </c>
      <c r="AN143" s="24">
        <v>229</v>
      </c>
      <c r="AO143" s="23">
        <v>134</v>
      </c>
      <c r="AP143" s="24">
        <v>229</v>
      </c>
      <c r="AQ143" s="23">
        <v>134</v>
      </c>
      <c r="AR143" s="24">
        <v>0</v>
      </c>
      <c r="AS143" s="20">
        <v>22</v>
      </c>
      <c r="AT143" s="19">
        <v>8551</v>
      </c>
      <c r="AU143" s="23">
        <v>1181</v>
      </c>
      <c r="AV143" s="24">
        <v>2214</v>
      </c>
      <c r="AW143" s="23">
        <v>484</v>
      </c>
      <c r="AX143" s="24">
        <v>2124</v>
      </c>
      <c r="AY143" s="23">
        <v>451</v>
      </c>
      <c r="AZ143" s="24">
        <v>90</v>
      </c>
      <c r="BA143" s="23">
        <v>146</v>
      </c>
      <c r="BB143" s="24">
        <v>5479</v>
      </c>
      <c r="BC143" s="23">
        <v>733</v>
      </c>
      <c r="BD143" s="24">
        <v>4453</v>
      </c>
      <c r="BE143" s="23">
        <v>677</v>
      </c>
      <c r="BF143" s="24">
        <v>1026</v>
      </c>
      <c r="BG143" s="23">
        <v>318</v>
      </c>
      <c r="BH143" s="24">
        <v>858</v>
      </c>
      <c r="BI143" s="23">
        <v>213</v>
      </c>
      <c r="BJ143" s="24">
        <v>848</v>
      </c>
      <c r="BK143" s="23">
        <v>210</v>
      </c>
      <c r="BL143" s="24">
        <v>10</v>
      </c>
      <c r="BM143" s="20">
        <v>18</v>
      </c>
      <c r="BN143" s="19">
        <v>11855</v>
      </c>
      <c r="BO143" s="23">
        <v>1206</v>
      </c>
      <c r="BP143" s="24">
        <v>2102</v>
      </c>
      <c r="BQ143" s="23">
        <v>384</v>
      </c>
      <c r="BR143" s="24">
        <v>2023</v>
      </c>
      <c r="BS143" s="23">
        <v>380</v>
      </c>
      <c r="BT143" s="26">
        <v>79</v>
      </c>
      <c r="BU143" s="23">
        <v>80</v>
      </c>
      <c r="BV143" s="24">
        <v>8603</v>
      </c>
      <c r="BW143" s="23">
        <v>900</v>
      </c>
      <c r="BX143" s="24">
        <v>8032</v>
      </c>
      <c r="BY143" s="23">
        <v>793</v>
      </c>
      <c r="BZ143" s="24">
        <v>571</v>
      </c>
      <c r="CA143" s="23">
        <v>275</v>
      </c>
      <c r="CB143" s="24">
        <v>1150</v>
      </c>
      <c r="CC143" s="23">
        <v>303</v>
      </c>
      <c r="CD143" s="24">
        <v>1150</v>
      </c>
      <c r="CE143" s="23">
        <v>303</v>
      </c>
      <c r="CF143" s="24">
        <v>0</v>
      </c>
      <c r="CG143" s="20">
        <v>22</v>
      </c>
    </row>
    <row r="144" spans="1:85" x14ac:dyDescent="0.3">
      <c r="A144" t="s">
        <v>287</v>
      </c>
      <c r="B144">
        <v>20880</v>
      </c>
      <c r="C144" t="s">
        <v>288</v>
      </c>
      <c r="D144" s="19">
        <v>521</v>
      </c>
      <c r="E144" s="20">
        <v>110</v>
      </c>
      <c r="F144" s="19">
        <v>66</v>
      </c>
      <c r="G144" s="23">
        <v>86</v>
      </c>
      <c r="H144" s="24">
        <v>34</v>
      </c>
      <c r="I144" s="23">
        <v>48</v>
      </c>
      <c r="J144" s="24">
        <v>34</v>
      </c>
      <c r="K144" s="23">
        <v>48</v>
      </c>
      <c r="L144" s="24">
        <v>0</v>
      </c>
      <c r="M144" s="23">
        <v>24</v>
      </c>
      <c r="N144" s="24">
        <v>27</v>
      </c>
      <c r="O144" s="23">
        <v>39</v>
      </c>
      <c r="P144" s="24">
        <v>27</v>
      </c>
      <c r="Q144" s="23">
        <v>39</v>
      </c>
      <c r="R144" s="24">
        <v>0</v>
      </c>
      <c r="S144" s="23">
        <v>24</v>
      </c>
      <c r="T144" s="24">
        <v>5</v>
      </c>
      <c r="U144" s="23">
        <v>18</v>
      </c>
      <c r="V144" s="24">
        <v>5</v>
      </c>
      <c r="W144" s="23">
        <v>18</v>
      </c>
      <c r="X144" s="24">
        <v>0</v>
      </c>
      <c r="Y144" s="20">
        <v>24</v>
      </c>
      <c r="Z144" s="19">
        <v>3</v>
      </c>
      <c r="AA144" s="23">
        <v>4</v>
      </c>
      <c r="AB144" s="24">
        <v>0</v>
      </c>
      <c r="AC144" s="23">
        <v>12</v>
      </c>
      <c r="AD144" s="24">
        <v>0</v>
      </c>
      <c r="AE144" s="23">
        <v>12</v>
      </c>
      <c r="AF144" s="24">
        <v>0</v>
      </c>
      <c r="AG144" s="23">
        <v>12</v>
      </c>
      <c r="AH144" s="24">
        <v>0</v>
      </c>
      <c r="AI144" s="23">
        <v>12</v>
      </c>
      <c r="AJ144" s="24">
        <v>0</v>
      </c>
      <c r="AK144" s="23">
        <v>12</v>
      </c>
      <c r="AL144" s="24">
        <v>0</v>
      </c>
      <c r="AM144" s="23">
        <v>12</v>
      </c>
      <c r="AN144" s="24">
        <v>3</v>
      </c>
      <c r="AO144" s="23">
        <v>4</v>
      </c>
      <c r="AP144" s="24">
        <v>3</v>
      </c>
      <c r="AQ144" s="23">
        <v>4</v>
      </c>
      <c r="AR144" s="24">
        <v>0</v>
      </c>
      <c r="AS144" s="20">
        <v>12</v>
      </c>
      <c r="AT144" s="19">
        <v>32</v>
      </c>
      <c r="AU144" s="23">
        <v>21</v>
      </c>
      <c r="AV144" s="24">
        <v>0</v>
      </c>
      <c r="AW144" s="23">
        <v>12</v>
      </c>
      <c r="AX144" s="24">
        <v>0</v>
      </c>
      <c r="AY144" s="23">
        <v>12</v>
      </c>
      <c r="AZ144" s="24">
        <v>0</v>
      </c>
      <c r="BA144" s="23">
        <v>12</v>
      </c>
      <c r="BB144" s="24">
        <v>11</v>
      </c>
      <c r="BC144" s="23">
        <v>11</v>
      </c>
      <c r="BD144" s="24">
        <v>8</v>
      </c>
      <c r="BE144" s="23">
        <v>9</v>
      </c>
      <c r="BF144" s="24">
        <v>3</v>
      </c>
      <c r="BG144" s="23">
        <v>5</v>
      </c>
      <c r="BH144" s="24">
        <v>21</v>
      </c>
      <c r="BI144" s="23">
        <v>14</v>
      </c>
      <c r="BJ144" s="24">
        <v>21</v>
      </c>
      <c r="BK144" s="23">
        <v>14</v>
      </c>
      <c r="BL144" s="24">
        <v>0</v>
      </c>
      <c r="BM144" s="20">
        <v>12</v>
      </c>
      <c r="BN144" s="19">
        <v>420</v>
      </c>
      <c r="BO144" s="23">
        <v>88</v>
      </c>
      <c r="BP144" s="24">
        <v>68</v>
      </c>
      <c r="BQ144" s="23">
        <v>32</v>
      </c>
      <c r="BR144" s="24">
        <v>66</v>
      </c>
      <c r="BS144" s="23">
        <v>31</v>
      </c>
      <c r="BT144" s="26">
        <v>2</v>
      </c>
      <c r="BU144" s="23">
        <v>4</v>
      </c>
      <c r="BV144" s="24">
        <v>263</v>
      </c>
      <c r="BW144" s="23">
        <v>60</v>
      </c>
      <c r="BX144" s="24">
        <v>258</v>
      </c>
      <c r="BY144" s="23">
        <v>59</v>
      </c>
      <c r="BZ144" s="24">
        <v>5</v>
      </c>
      <c r="CA144" s="23">
        <v>6</v>
      </c>
      <c r="CB144" s="24">
        <v>89</v>
      </c>
      <c r="CC144" s="23">
        <v>30</v>
      </c>
      <c r="CD144" s="24">
        <v>89</v>
      </c>
      <c r="CE144" s="23">
        <v>30</v>
      </c>
      <c r="CF144" s="24">
        <v>0</v>
      </c>
      <c r="CG144" s="20">
        <v>12</v>
      </c>
    </row>
    <row r="145" spans="1:85" x14ac:dyDescent="0.3">
      <c r="A145" t="s">
        <v>289</v>
      </c>
      <c r="B145">
        <v>20882</v>
      </c>
      <c r="C145" t="s">
        <v>290</v>
      </c>
      <c r="D145" s="19">
        <v>13238</v>
      </c>
      <c r="E145" s="20">
        <v>627</v>
      </c>
      <c r="F145" s="19">
        <v>543</v>
      </c>
      <c r="G145" s="23">
        <v>323</v>
      </c>
      <c r="H145" s="24">
        <v>193</v>
      </c>
      <c r="I145" s="23">
        <v>197</v>
      </c>
      <c r="J145" s="24">
        <v>187</v>
      </c>
      <c r="K145" s="23">
        <v>188</v>
      </c>
      <c r="L145" s="24">
        <v>6</v>
      </c>
      <c r="M145" s="23">
        <v>31</v>
      </c>
      <c r="N145" s="24">
        <v>281</v>
      </c>
      <c r="O145" s="23">
        <v>143</v>
      </c>
      <c r="P145" s="24">
        <v>239</v>
      </c>
      <c r="Q145" s="23">
        <v>126</v>
      </c>
      <c r="R145" s="24">
        <v>42</v>
      </c>
      <c r="S145" s="23">
        <v>57</v>
      </c>
      <c r="T145" s="24">
        <v>69</v>
      </c>
      <c r="U145" s="23">
        <v>58</v>
      </c>
      <c r="V145" s="24">
        <v>69</v>
      </c>
      <c r="W145" s="23">
        <v>58</v>
      </c>
      <c r="X145" s="24">
        <v>0</v>
      </c>
      <c r="Y145" s="20">
        <v>38</v>
      </c>
      <c r="Z145" s="19">
        <v>449</v>
      </c>
      <c r="AA145" s="23">
        <v>221</v>
      </c>
      <c r="AB145" s="24">
        <v>131</v>
      </c>
      <c r="AC145" s="23">
        <v>118</v>
      </c>
      <c r="AD145" s="24">
        <v>117</v>
      </c>
      <c r="AE145" s="23">
        <v>111</v>
      </c>
      <c r="AF145" s="24">
        <v>14</v>
      </c>
      <c r="AG145" s="23">
        <v>24</v>
      </c>
      <c r="AH145" s="24">
        <v>202</v>
      </c>
      <c r="AI145" s="23">
        <v>111</v>
      </c>
      <c r="AJ145" s="24">
        <v>138</v>
      </c>
      <c r="AK145" s="23">
        <v>73</v>
      </c>
      <c r="AL145" s="24">
        <v>64</v>
      </c>
      <c r="AM145" s="23">
        <v>63</v>
      </c>
      <c r="AN145" s="24">
        <v>116</v>
      </c>
      <c r="AO145" s="23">
        <v>69</v>
      </c>
      <c r="AP145" s="24">
        <v>116</v>
      </c>
      <c r="AQ145" s="23">
        <v>69</v>
      </c>
      <c r="AR145" s="24">
        <v>0</v>
      </c>
      <c r="AS145" s="20">
        <v>19</v>
      </c>
      <c r="AT145" s="19">
        <v>2485</v>
      </c>
      <c r="AU145" s="23">
        <v>620</v>
      </c>
      <c r="AV145" s="24">
        <v>606</v>
      </c>
      <c r="AW145" s="23">
        <v>203</v>
      </c>
      <c r="AX145" s="24">
        <v>606</v>
      </c>
      <c r="AY145" s="23">
        <v>203</v>
      </c>
      <c r="AZ145" s="24">
        <v>0</v>
      </c>
      <c r="BA145" s="23">
        <v>19</v>
      </c>
      <c r="BB145" s="24">
        <v>1540</v>
      </c>
      <c r="BC145" s="23">
        <v>465</v>
      </c>
      <c r="BD145" s="24">
        <v>1387</v>
      </c>
      <c r="BE145" s="23">
        <v>439</v>
      </c>
      <c r="BF145" s="24">
        <v>153</v>
      </c>
      <c r="BG145" s="23">
        <v>98</v>
      </c>
      <c r="BH145" s="24">
        <v>339</v>
      </c>
      <c r="BI145" s="23">
        <v>114</v>
      </c>
      <c r="BJ145" s="24">
        <v>339</v>
      </c>
      <c r="BK145" s="23">
        <v>114</v>
      </c>
      <c r="BL145" s="24">
        <v>0</v>
      </c>
      <c r="BM145" s="20">
        <v>19</v>
      </c>
      <c r="BN145" s="19">
        <v>9761</v>
      </c>
      <c r="BO145" s="23">
        <v>572</v>
      </c>
      <c r="BP145" s="24">
        <v>2081</v>
      </c>
      <c r="BQ145" s="23">
        <v>216</v>
      </c>
      <c r="BR145" s="24">
        <v>2036</v>
      </c>
      <c r="BS145" s="23">
        <v>216</v>
      </c>
      <c r="BT145" s="26">
        <v>45</v>
      </c>
      <c r="BU145" s="23">
        <v>45</v>
      </c>
      <c r="BV145" s="24">
        <v>6184</v>
      </c>
      <c r="BW145" s="23">
        <v>430</v>
      </c>
      <c r="BX145" s="24">
        <v>6106</v>
      </c>
      <c r="BY145" s="23">
        <v>432</v>
      </c>
      <c r="BZ145" s="24">
        <v>78</v>
      </c>
      <c r="CA145" s="23">
        <v>48</v>
      </c>
      <c r="CB145" s="24">
        <v>1496</v>
      </c>
      <c r="CC145" s="23">
        <v>180</v>
      </c>
      <c r="CD145" s="24">
        <v>1496</v>
      </c>
      <c r="CE145" s="23">
        <v>180</v>
      </c>
      <c r="CF145" s="24">
        <v>0</v>
      </c>
      <c r="CG145" s="20">
        <v>19</v>
      </c>
    </row>
    <row r="146" spans="1:85" x14ac:dyDescent="0.3">
      <c r="A146" t="s">
        <v>291</v>
      </c>
      <c r="B146">
        <v>20886</v>
      </c>
      <c r="C146" t="s">
        <v>292</v>
      </c>
      <c r="D146" s="19">
        <v>34408</v>
      </c>
      <c r="E146" s="20">
        <v>1118</v>
      </c>
      <c r="F146" s="19">
        <v>5248</v>
      </c>
      <c r="G146" s="23">
        <v>1269</v>
      </c>
      <c r="H146" s="24">
        <v>2363</v>
      </c>
      <c r="I146" s="23">
        <v>777</v>
      </c>
      <c r="J146" s="24">
        <v>2268</v>
      </c>
      <c r="K146" s="23">
        <v>763</v>
      </c>
      <c r="L146" s="24">
        <v>95</v>
      </c>
      <c r="M146" s="23">
        <v>117</v>
      </c>
      <c r="N146" s="24">
        <v>2449</v>
      </c>
      <c r="O146" s="23">
        <v>609</v>
      </c>
      <c r="P146" s="24">
        <v>1567</v>
      </c>
      <c r="Q146" s="23">
        <v>433</v>
      </c>
      <c r="R146" s="24">
        <v>882</v>
      </c>
      <c r="S146" s="23">
        <v>383</v>
      </c>
      <c r="T146" s="24">
        <v>436</v>
      </c>
      <c r="U146" s="23">
        <v>189</v>
      </c>
      <c r="V146" s="24">
        <v>426</v>
      </c>
      <c r="W146" s="23">
        <v>185</v>
      </c>
      <c r="X146" s="24">
        <v>10</v>
      </c>
      <c r="Y146" s="20">
        <v>41</v>
      </c>
      <c r="Z146" s="19">
        <v>3893</v>
      </c>
      <c r="AA146" s="23">
        <v>915</v>
      </c>
      <c r="AB146" s="24">
        <v>1486</v>
      </c>
      <c r="AC146" s="23">
        <v>452</v>
      </c>
      <c r="AD146" s="24">
        <v>1392</v>
      </c>
      <c r="AE146" s="23">
        <v>446</v>
      </c>
      <c r="AF146" s="24">
        <v>94</v>
      </c>
      <c r="AG146" s="23">
        <v>112</v>
      </c>
      <c r="AH146" s="24">
        <v>2241</v>
      </c>
      <c r="AI146" s="23">
        <v>500</v>
      </c>
      <c r="AJ146" s="24">
        <v>1615</v>
      </c>
      <c r="AK146" s="23">
        <v>455</v>
      </c>
      <c r="AL146" s="24">
        <v>626</v>
      </c>
      <c r="AM146" s="23">
        <v>217</v>
      </c>
      <c r="AN146" s="24">
        <v>166</v>
      </c>
      <c r="AO146" s="23">
        <v>69</v>
      </c>
      <c r="AP146" s="24">
        <v>166</v>
      </c>
      <c r="AQ146" s="23">
        <v>69</v>
      </c>
      <c r="AR146" s="24">
        <v>0</v>
      </c>
      <c r="AS146" s="20">
        <v>25</v>
      </c>
      <c r="AT146" s="19">
        <v>9166</v>
      </c>
      <c r="AU146" s="23">
        <v>925</v>
      </c>
      <c r="AV146" s="24">
        <v>2516</v>
      </c>
      <c r="AW146" s="23">
        <v>433</v>
      </c>
      <c r="AX146" s="24">
        <v>2311</v>
      </c>
      <c r="AY146" s="23">
        <v>433</v>
      </c>
      <c r="AZ146" s="24">
        <v>205</v>
      </c>
      <c r="BA146" s="23">
        <v>136</v>
      </c>
      <c r="BB146" s="24">
        <v>5831</v>
      </c>
      <c r="BC146" s="23">
        <v>654</v>
      </c>
      <c r="BD146" s="24">
        <v>4447</v>
      </c>
      <c r="BE146" s="23">
        <v>595</v>
      </c>
      <c r="BF146" s="24">
        <v>1384</v>
      </c>
      <c r="BG146" s="23">
        <v>305</v>
      </c>
      <c r="BH146" s="24">
        <v>819</v>
      </c>
      <c r="BI146" s="23">
        <v>162</v>
      </c>
      <c r="BJ146" s="24">
        <v>796</v>
      </c>
      <c r="BK146" s="23">
        <v>165</v>
      </c>
      <c r="BL146" s="24">
        <v>23</v>
      </c>
      <c r="BM146" s="20">
        <v>22</v>
      </c>
      <c r="BN146" s="19">
        <v>16101</v>
      </c>
      <c r="BO146" s="23">
        <v>1088</v>
      </c>
      <c r="BP146" s="24">
        <v>2826</v>
      </c>
      <c r="BQ146" s="23">
        <v>376</v>
      </c>
      <c r="BR146" s="24">
        <v>2757</v>
      </c>
      <c r="BS146" s="23">
        <v>362</v>
      </c>
      <c r="BT146" s="26">
        <v>69</v>
      </c>
      <c r="BU146" s="23">
        <v>44</v>
      </c>
      <c r="BV146" s="24">
        <v>11360</v>
      </c>
      <c r="BW146" s="23">
        <v>854</v>
      </c>
      <c r="BX146" s="24">
        <v>10734</v>
      </c>
      <c r="BY146" s="23">
        <v>824</v>
      </c>
      <c r="BZ146" s="24">
        <v>626</v>
      </c>
      <c r="CA146" s="23">
        <v>198</v>
      </c>
      <c r="CB146" s="24">
        <v>1915</v>
      </c>
      <c r="CC146" s="23">
        <v>239</v>
      </c>
      <c r="CD146" s="24">
        <v>1915</v>
      </c>
      <c r="CE146" s="23">
        <v>239</v>
      </c>
      <c r="CF146" s="24">
        <v>0</v>
      </c>
      <c r="CG146" s="20">
        <v>25</v>
      </c>
    </row>
    <row r="147" spans="1:85" x14ac:dyDescent="0.3">
      <c r="A147" t="s">
        <v>293</v>
      </c>
      <c r="B147">
        <v>20895</v>
      </c>
      <c r="C147" t="s">
        <v>294</v>
      </c>
      <c r="D147" s="19">
        <v>19332</v>
      </c>
      <c r="E147" s="20">
        <v>727</v>
      </c>
      <c r="F147" s="19">
        <v>1065</v>
      </c>
      <c r="G147" s="23">
        <v>361</v>
      </c>
      <c r="H147" s="24">
        <v>214</v>
      </c>
      <c r="I147" s="23">
        <v>146</v>
      </c>
      <c r="J147" s="24">
        <v>201</v>
      </c>
      <c r="K147" s="23">
        <v>137</v>
      </c>
      <c r="L147" s="24">
        <v>13</v>
      </c>
      <c r="M147" s="23">
        <v>21</v>
      </c>
      <c r="N147" s="24">
        <v>536</v>
      </c>
      <c r="O147" s="23">
        <v>232</v>
      </c>
      <c r="P147" s="24">
        <v>443</v>
      </c>
      <c r="Q147" s="23">
        <v>213</v>
      </c>
      <c r="R147" s="24">
        <v>93</v>
      </c>
      <c r="S147" s="23">
        <v>99</v>
      </c>
      <c r="T147" s="24">
        <v>315</v>
      </c>
      <c r="U147" s="23">
        <v>151</v>
      </c>
      <c r="V147" s="24">
        <v>315</v>
      </c>
      <c r="W147" s="23">
        <v>151</v>
      </c>
      <c r="X147" s="24">
        <v>0</v>
      </c>
      <c r="Y147" s="20">
        <v>38</v>
      </c>
      <c r="Z147" s="19">
        <v>891</v>
      </c>
      <c r="AA147" s="23">
        <v>496</v>
      </c>
      <c r="AB147" s="24">
        <v>216</v>
      </c>
      <c r="AC147" s="23">
        <v>142</v>
      </c>
      <c r="AD147" s="24">
        <v>178</v>
      </c>
      <c r="AE147" s="23">
        <v>140</v>
      </c>
      <c r="AF147" s="24">
        <v>38</v>
      </c>
      <c r="AG147" s="23">
        <v>37</v>
      </c>
      <c r="AH147" s="24">
        <v>476</v>
      </c>
      <c r="AI147" s="23">
        <v>342</v>
      </c>
      <c r="AJ147" s="24">
        <v>194</v>
      </c>
      <c r="AK147" s="23">
        <v>121</v>
      </c>
      <c r="AL147" s="24">
        <v>282</v>
      </c>
      <c r="AM147" s="23">
        <v>275</v>
      </c>
      <c r="AN147" s="24">
        <v>199</v>
      </c>
      <c r="AO147" s="23">
        <v>98</v>
      </c>
      <c r="AP147" s="24">
        <v>191</v>
      </c>
      <c r="AQ147" s="23">
        <v>89</v>
      </c>
      <c r="AR147" s="24">
        <v>8</v>
      </c>
      <c r="AS147" s="20">
        <v>49</v>
      </c>
      <c r="AT147" s="19">
        <v>2742</v>
      </c>
      <c r="AU147" s="23">
        <v>481</v>
      </c>
      <c r="AV147" s="24">
        <v>774</v>
      </c>
      <c r="AW147" s="23">
        <v>234</v>
      </c>
      <c r="AX147" s="24">
        <v>761</v>
      </c>
      <c r="AY147" s="23">
        <v>230</v>
      </c>
      <c r="AZ147" s="24">
        <v>13</v>
      </c>
      <c r="BA147" s="23">
        <v>20</v>
      </c>
      <c r="BB147" s="24">
        <v>1527</v>
      </c>
      <c r="BC147" s="23">
        <v>285</v>
      </c>
      <c r="BD147" s="24">
        <v>1391</v>
      </c>
      <c r="BE147" s="23">
        <v>250</v>
      </c>
      <c r="BF147" s="24">
        <v>136</v>
      </c>
      <c r="BG147" s="23">
        <v>90</v>
      </c>
      <c r="BH147" s="24">
        <v>441</v>
      </c>
      <c r="BI147" s="23">
        <v>114</v>
      </c>
      <c r="BJ147" s="24">
        <v>425</v>
      </c>
      <c r="BK147" s="23">
        <v>116</v>
      </c>
      <c r="BL147" s="24">
        <v>16</v>
      </c>
      <c r="BM147" s="20">
        <v>20</v>
      </c>
      <c r="BN147" s="19">
        <v>14634</v>
      </c>
      <c r="BO147" s="23">
        <v>737</v>
      </c>
      <c r="BP147" s="24">
        <v>3897</v>
      </c>
      <c r="BQ147" s="23">
        <v>310</v>
      </c>
      <c r="BR147" s="24">
        <v>3886</v>
      </c>
      <c r="BS147" s="23">
        <v>310</v>
      </c>
      <c r="BT147" s="26">
        <v>11</v>
      </c>
      <c r="BU147" s="23">
        <v>17</v>
      </c>
      <c r="BV147" s="24">
        <v>8678</v>
      </c>
      <c r="BW147" s="23">
        <v>448</v>
      </c>
      <c r="BX147" s="24">
        <v>8457</v>
      </c>
      <c r="BY147" s="23">
        <v>429</v>
      </c>
      <c r="BZ147" s="24">
        <v>221</v>
      </c>
      <c r="CA147" s="23">
        <v>128</v>
      </c>
      <c r="CB147" s="24">
        <v>2059</v>
      </c>
      <c r="CC147" s="23">
        <v>205</v>
      </c>
      <c r="CD147" s="24">
        <v>2048</v>
      </c>
      <c r="CE147" s="23">
        <v>208</v>
      </c>
      <c r="CF147" s="24">
        <v>11</v>
      </c>
      <c r="CG147" s="20">
        <v>18</v>
      </c>
    </row>
    <row r="148" spans="1:85" x14ac:dyDescent="0.3">
      <c r="A148" t="s">
        <v>295</v>
      </c>
      <c r="B148">
        <v>20896</v>
      </c>
      <c r="C148" t="s">
        <v>296</v>
      </c>
      <c r="D148" s="19">
        <v>931</v>
      </c>
      <c r="E148" s="20">
        <v>134</v>
      </c>
      <c r="F148" s="19">
        <v>67</v>
      </c>
      <c r="G148" s="23">
        <v>69</v>
      </c>
      <c r="H148" s="24">
        <v>30</v>
      </c>
      <c r="I148" s="23">
        <v>60</v>
      </c>
      <c r="J148" s="24">
        <v>30</v>
      </c>
      <c r="K148" s="23">
        <v>60</v>
      </c>
      <c r="L148" s="24">
        <v>0</v>
      </c>
      <c r="M148" s="23">
        <v>24</v>
      </c>
      <c r="N148" s="24">
        <v>35</v>
      </c>
      <c r="O148" s="23">
        <v>28</v>
      </c>
      <c r="P148" s="24">
        <v>32</v>
      </c>
      <c r="Q148" s="23">
        <v>28</v>
      </c>
      <c r="R148" s="24">
        <v>3</v>
      </c>
      <c r="S148" s="23">
        <v>16</v>
      </c>
      <c r="T148" s="24">
        <v>2</v>
      </c>
      <c r="U148" s="23">
        <v>16</v>
      </c>
      <c r="V148" s="24">
        <v>2</v>
      </c>
      <c r="W148" s="23">
        <v>16</v>
      </c>
      <c r="X148" s="24">
        <v>0</v>
      </c>
      <c r="Y148" s="20">
        <v>24</v>
      </c>
      <c r="Z148" s="19">
        <v>7</v>
      </c>
      <c r="AA148" s="23">
        <v>11</v>
      </c>
      <c r="AB148" s="24">
        <v>0</v>
      </c>
      <c r="AC148" s="23">
        <v>12</v>
      </c>
      <c r="AD148" s="24">
        <v>0</v>
      </c>
      <c r="AE148" s="23">
        <v>12</v>
      </c>
      <c r="AF148" s="24">
        <v>0</v>
      </c>
      <c r="AG148" s="23">
        <v>12</v>
      </c>
      <c r="AH148" s="24">
        <v>0</v>
      </c>
      <c r="AI148" s="23">
        <v>12</v>
      </c>
      <c r="AJ148" s="24">
        <v>0</v>
      </c>
      <c r="AK148" s="23">
        <v>12</v>
      </c>
      <c r="AL148" s="24">
        <v>0</v>
      </c>
      <c r="AM148" s="23">
        <v>12</v>
      </c>
      <c r="AN148" s="24">
        <v>7</v>
      </c>
      <c r="AO148" s="23">
        <v>11</v>
      </c>
      <c r="AP148" s="24">
        <v>7</v>
      </c>
      <c r="AQ148" s="23">
        <v>11</v>
      </c>
      <c r="AR148" s="24">
        <v>0</v>
      </c>
      <c r="AS148" s="20">
        <v>12</v>
      </c>
      <c r="AT148" s="19">
        <v>89</v>
      </c>
      <c r="AU148" s="23">
        <v>71</v>
      </c>
      <c r="AV148" s="24">
        <v>23</v>
      </c>
      <c r="AW148" s="23">
        <v>29</v>
      </c>
      <c r="AX148" s="24">
        <v>23</v>
      </c>
      <c r="AY148" s="23">
        <v>29</v>
      </c>
      <c r="AZ148" s="24">
        <v>0</v>
      </c>
      <c r="BA148" s="23">
        <v>12</v>
      </c>
      <c r="BB148" s="24">
        <v>41</v>
      </c>
      <c r="BC148" s="23">
        <v>28</v>
      </c>
      <c r="BD148" s="24">
        <v>41</v>
      </c>
      <c r="BE148" s="23">
        <v>28</v>
      </c>
      <c r="BF148" s="24">
        <v>0</v>
      </c>
      <c r="BG148" s="23">
        <v>12</v>
      </c>
      <c r="BH148" s="24">
        <v>25</v>
      </c>
      <c r="BI148" s="23">
        <v>24</v>
      </c>
      <c r="BJ148" s="24">
        <v>25</v>
      </c>
      <c r="BK148" s="23">
        <v>24</v>
      </c>
      <c r="BL148" s="24">
        <v>0</v>
      </c>
      <c r="BM148" s="20">
        <v>12</v>
      </c>
      <c r="BN148" s="19">
        <v>768</v>
      </c>
      <c r="BO148" s="23">
        <v>107</v>
      </c>
      <c r="BP148" s="24">
        <v>221</v>
      </c>
      <c r="BQ148" s="23">
        <v>57</v>
      </c>
      <c r="BR148" s="24">
        <v>219</v>
      </c>
      <c r="BS148" s="23">
        <v>57</v>
      </c>
      <c r="BT148" s="26">
        <v>2</v>
      </c>
      <c r="BU148" s="23">
        <v>3</v>
      </c>
      <c r="BV148" s="24">
        <v>397</v>
      </c>
      <c r="BW148" s="23">
        <v>66</v>
      </c>
      <c r="BX148" s="24">
        <v>391</v>
      </c>
      <c r="BY148" s="23">
        <v>65</v>
      </c>
      <c r="BZ148" s="24">
        <v>6</v>
      </c>
      <c r="CA148" s="23">
        <v>7</v>
      </c>
      <c r="CB148" s="24">
        <v>150</v>
      </c>
      <c r="CC148" s="23">
        <v>40</v>
      </c>
      <c r="CD148" s="24">
        <v>150</v>
      </c>
      <c r="CE148" s="23">
        <v>40</v>
      </c>
      <c r="CF148" s="24">
        <v>0</v>
      </c>
      <c r="CG148" s="20">
        <v>12</v>
      </c>
    </row>
    <row r="149" spans="1:85" x14ac:dyDescent="0.3">
      <c r="A149" t="s">
        <v>297</v>
      </c>
      <c r="B149">
        <v>20899</v>
      </c>
      <c r="C149" t="s">
        <v>298</v>
      </c>
      <c r="D149" s="19">
        <v>253</v>
      </c>
      <c r="E149" s="20">
        <v>110</v>
      </c>
      <c r="F149" s="19">
        <v>102</v>
      </c>
      <c r="G149" s="23">
        <v>108</v>
      </c>
      <c r="H149" s="24">
        <v>0</v>
      </c>
      <c r="I149" s="23">
        <v>24</v>
      </c>
      <c r="J149" s="24">
        <v>0</v>
      </c>
      <c r="K149" s="23">
        <v>24</v>
      </c>
      <c r="L149" s="24">
        <v>0</v>
      </c>
      <c r="M149" s="23">
        <v>24</v>
      </c>
      <c r="N149" s="24">
        <v>82</v>
      </c>
      <c r="O149" s="23">
        <v>101</v>
      </c>
      <c r="P149" s="24">
        <v>61</v>
      </c>
      <c r="Q149" s="23">
        <v>96</v>
      </c>
      <c r="R149" s="24">
        <v>21</v>
      </c>
      <c r="S149" s="23">
        <v>46</v>
      </c>
      <c r="T149" s="24">
        <v>20</v>
      </c>
      <c r="U149" s="23">
        <v>32</v>
      </c>
      <c r="V149" s="24">
        <v>20</v>
      </c>
      <c r="W149" s="23">
        <v>32</v>
      </c>
      <c r="X149" s="24">
        <v>0</v>
      </c>
      <c r="Y149" s="20">
        <v>24</v>
      </c>
      <c r="Z149" s="19">
        <v>38</v>
      </c>
      <c r="AA149" s="23">
        <v>37</v>
      </c>
      <c r="AB149" s="24">
        <v>0</v>
      </c>
      <c r="AC149" s="23">
        <v>12</v>
      </c>
      <c r="AD149" s="24">
        <v>0</v>
      </c>
      <c r="AE149" s="23">
        <v>12</v>
      </c>
      <c r="AF149" s="24">
        <v>0</v>
      </c>
      <c r="AG149" s="23">
        <v>12</v>
      </c>
      <c r="AH149" s="24">
        <v>38</v>
      </c>
      <c r="AI149" s="23">
        <v>37</v>
      </c>
      <c r="AJ149" s="24">
        <v>18</v>
      </c>
      <c r="AK149" s="23">
        <v>15</v>
      </c>
      <c r="AL149" s="24">
        <v>20</v>
      </c>
      <c r="AM149" s="23">
        <v>33</v>
      </c>
      <c r="AN149" s="24">
        <v>0</v>
      </c>
      <c r="AO149" s="23">
        <v>12</v>
      </c>
      <c r="AP149" s="24">
        <v>0</v>
      </c>
      <c r="AQ149" s="23">
        <v>12</v>
      </c>
      <c r="AR149" s="24">
        <v>0</v>
      </c>
      <c r="AS149" s="20">
        <v>12</v>
      </c>
      <c r="AT149" s="19">
        <v>69</v>
      </c>
      <c r="AU149" s="23">
        <v>54</v>
      </c>
      <c r="AV149" s="24">
        <v>11</v>
      </c>
      <c r="AW149" s="23">
        <v>17</v>
      </c>
      <c r="AX149" s="24">
        <v>11</v>
      </c>
      <c r="AY149" s="23">
        <v>17</v>
      </c>
      <c r="AZ149" s="24">
        <v>0</v>
      </c>
      <c r="BA149" s="23">
        <v>12</v>
      </c>
      <c r="BB149" s="24">
        <v>58</v>
      </c>
      <c r="BC149" s="23">
        <v>45</v>
      </c>
      <c r="BD149" s="24">
        <v>58</v>
      </c>
      <c r="BE149" s="23">
        <v>45</v>
      </c>
      <c r="BF149" s="24">
        <v>0</v>
      </c>
      <c r="BG149" s="23">
        <v>12</v>
      </c>
      <c r="BH149" s="24">
        <v>0</v>
      </c>
      <c r="BI149" s="23">
        <v>12</v>
      </c>
      <c r="BJ149" s="24">
        <v>0</v>
      </c>
      <c r="BK149" s="23">
        <v>12</v>
      </c>
      <c r="BL149" s="24">
        <v>0</v>
      </c>
      <c r="BM149" s="20">
        <v>12</v>
      </c>
      <c r="BN149" s="19">
        <v>44</v>
      </c>
      <c r="BO149" s="23">
        <v>36</v>
      </c>
      <c r="BP149" s="24">
        <v>0</v>
      </c>
      <c r="BQ149" s="23">
        <v>12</v>
      </c>
      <c r="BR149" s="24">
        <v>0</v>
      </c>
      <c r="BS149" s="23">
        <v>12</v>
      </c>
      <c r="BT149" s="26">
        <v>0</v>
      </c>
      <c r="BU149" s="23">
        <v>12</v>
      </c>
      <c r="BV149" s="24">
        <v>44</v>
      </c>
      <c r="BW149" s="23">
        <v>36</v>
      </c>
      <c r="BX149" s="24">
        <v>44</v>
      </c>
      <c r="BY149" s="23">
        <v>36</v>
      </c>
      <c r="BZ149" s="24">
        <v>0</v>
      </c>
      <c r="CA149" s="23">
        <v>12</v>
      </c>
      <c r="CB149" s="24">
        <v>0</v>
      </c>
      <c r="CC149" s="23">
        <v>12</v>
      </c>
      <c r="CD149" s="24">
        <v>0</v>
      </c>
      <c r="CE149" s="23">
        <v>12</v>
      </c>
      <c r="CF149" s="24">
        <v>0</v>
      </c>
      <c r="CG149" s="20">
        <v>12</v>
      </c>
    </row>
    <row r="150" spans="1:85" x14ac:dyDescent="0.3">
      <c r="A150" t="s">
        <v>299</v>
      </c>
      <c r="B150">
        <v>20901</v>
      </c>
      <c r="C150" t="s">
        <v>300</v>
      </c>
      <c r="D150" s="19">
        <v>36585</v>
      </c>
      <c r="E150" s="20">
        <v>1193</v>
      </c>
      <c r="F150" s="19">
        <v>4972</v>
      </c>
      <c r="G150" s="23">
        <v>1359</v>
      </c>
      <c r="H150" s="24">
        <v>2049</v>
      </c>
      <c r="I150" s="23">
        <v>833</v>
      </c>
      <c r="J150" s="24">
        <v>1934</v>
      </c>
      <c r="K150" s="23">
        <v>806</v>
      </c>
      <c r="L150" s="24">
        <v>115</v>
      </c>
      <c r="M150" s="23">
        <v>165</v>
      </c>
      <c r="N150" s="24">
        <v>2652</v>
      </c>
      <c r="O150" s="23">
        <v>669</v>
      </c>
      <c r="P150" s="24">
        <v>1700</v>
      </c>
      <c r="Q150" s="23">
        <v>483</v>
      </c>
      <c r="R150" s="24">
        <v>952</v>
      </c>
      <c r="S150" s="23">
        <v>379</v>
      </c>
      <c r="T150" s="24">
        <v>271</v>
      </c>
      <c r="U150" s="23">
        <v>140</v>
      </c>
      <c r="V150" s="24">
        <v>257</v>
      </c>
      <c r="W150" s="23">
        <v>134</v>
      </c>
      <c r="X150" s="24">
        <v>14</v>
      </c>
      <c r="Y150" s="20">
        <v>52</v>
      </c>
      <c r="Z150" s="19">
        <v>2608</v>
      </c>
      <c r="AA150" s="23">
        <v>612</v>
      </c>
      <c r="AB150" s="24">
        <v>439</v>
      </c>
      <c r="AC150" s="23">
        <v>185</v>
      </c>
      <c r="AD150" s="24">
        <v>398</v>
      </c>
      <c r="AE150" s="23">
        <v>170</v>
      </c>
      <c r="AF150" s="24">
        <v>41</v>
      </c>
      <c r="AG150" s="23">
        <v>47</v>
      </c>
      <c r="AH150" s="24">
        <v>1789</v>
      </c>
      <c r="AI150" s="23">
        <v>457</v>
      </c>
      <c r="AJ150" s="24">
        <v>986</v>
      </c>
      <c r="AK150" s="23">
        <v>266</v>
      </c>
      <c r="AL150" s="24">
        <v>803</v>
      </c>
      <c r="AM150" s="23">
        <v>289</v>
      </c>
      <c r="AN150" s="24">
        <v>380</v>
      </c>
      <c r="AO150" s="23">
        <v>122</v>
      </c>
      <c r="AP150" s="24">
        <v>352</v>
      </c>
      <c r="AQ150" s="23">
        <v>121</v>
      </c>
      <c r="AR150" s="24">
        <v>28</v>
      </c>
      <c r="AS150" s="20">
        <v>26</v>
      </c>
      <c r="AT150" s="19">
        <v>8420</v>
      </c>
      <c r="AU150" s="23">
        <v>1071</v>
      </c>
      <c r="AV150" s="24">
        <v>2353</v>
      </c>
      <c r="AW150" s="23">
        <v>482</v>
      </c>
      <c r="AX150" s="24">
        <v>2126</v>
      </c>
      <c r="AY150" s="23">
        <v>396</v>
      </c>
      <c r="AZ150" s="24">
        <v>227</v>
      </c>
      <c r="BA150" s="23">
        <v>266</v>
      </c>
      <c r="BB150" s="24">
        <v>5215</v>
      </c>
      <c r="BC150" s="23">
        <v>675</v>
      </c>
      <c r="BD150" s="24">
        <v>3642</v>
      </c>
      <c r="BE150" s="23">
        <v>466</v>
      </c>
      <c r="BF150" s="24">
        <v>1573</v>
      </c>
      <c r="BG150" s="23">
        <v>445</v>
      </c>
      <c r="BH150" s="24">
        <v>852</v>
      </c>
      <c r="BI150" s="23">
        <v>156</v>
      </c>
      <c r="BJ150" s="24">
        <v>795</v>
      </c>
      <c r="BK150" s="23">
        <v>163</v>
      </c>
      <c r="BL150" s="24">
        <v>57</v>
      </c>
      <c r="BM150" s="20">
        <v>68</v>
      </c>
      <c r="BN150" s="19">
        <v>20585</v>
      </c>
      <c r="BO150" s="23">
        <v>982</v>
      </c>
      <c r="BP150" s="24">
        <v>4651</v>
      </c>
      <c r="BQ150" s="23">
        <v>435</v>
      </c>
      <c r="BR150" s="24">
        <v>4581</v>
      </c>
      <c r="BS150" s="23">
        <v>420</v>
      </c>
      <c r="BT150" s="26">
        <v>70</v>
      </c>
      <c r="BU150" s="23">
        <v>54</v>
      </c>
      <c r="BV150" s="24">
        <v>13276</v>
      </c>
      <c r="BW150" s="23">
        <v>635</v>
      </c>
      <c r="BX150" s="24">
        <v>12808</v>
      </c>
      <c r="BY150" s="23">
        <v>592</v>
      </c>
      <c r="BZ150" s="24">
        <v>468</v>
      </c>
      <c r="CA150" s="23">
        <v>200</v>
      </c>
      <c r="CB150" s="24">
        <v>2658</v>
      </c>
      <c r="CC150" s="23">
        <v>219</v>
      </c>
      <c r="CD150" s="24">
        <v>2658</v>
      </c>
      <c r="CE150" s="23">
        <v>219</v>
      </c>
      <c r="CF150" s="24">
        <v>0</v>
      </c>
      <c r="CG150" s="20">
        <v>25</v>
      </c>
    </row>
    <row r="151" spans="1:85" x14ac:dyDescent="0.3">
      <c r="A151" t="s">
        <v>301</v>
      </c>
      <c r="B151">
        <v>20902</v>
      </c>
      <c r="C151" t="s">
        <v>302</v>
      </c>
      <c r="D151" s="19">
        <v>52116</v>
      </c>
      <c r="E151" s="20">
        <v>1786</v>
      </c>
      <c r="F151" s="19">
        <v>8007</v>
      </c>
      <c r="G151" s="23">
        <v>1839</v>
      </c>
      <c r="H151" s="24">
        <v>3416</v>
      </c>
      <c r="I151" s="23">
        <v>1107</v>
      </c>
      <c r="J151" s="24">
        <v>3091</v>
      </c>
      <c r="K151" s="23">
        <v>1027</v>
      </c>
      <c r="L151" s="24">
        <v>325</v>
      </c>
      <c r="M151" s="23">
        <v>231</v>
      </c>
      <c r="N151" s="24">
        <v>3788</v>
      </c>
      <c r="O151" s="23">
        <v>855</v>
      </c>
      <c r="P151" s="24">
        <v>1946</v>
      </c>
      <c r="Q151" s="23">
        <v>531</v>
      </c>
      <c r="R151" s="24">
        <v>1842</v>
      </c>
      <c r="S151" s="23">
        <v>621</v>
      </c>
      <c r="T151" s="24">
        <v>803</v>
      </c>
      <c r="U151" s="23">
        <v>292</v>
      </c>
      <c r="V151" s="24">
        <v>760</v>
      </c>
      <c r="W151" s="23">
        <v>290</v>
      </c>
      <c r="X151" s="24">
        <v>43</v>
      </c>
      <c r="Y151" s="20">
        <v>80</v>
      </c>
      <c r="Z151" s="19">
        <v>6311</v>
      </c>
      <c r="AA151" s="23">
        <v>1304</v>
      </c>
      <c r="AB151" s="24">
        <v>2050</v>
      </c>
      <c r="AC151" s="23">
        <v>560</v>
      </c>
      <c r="AD151" s="24">
        <v>1904</v>
      </c>
      <c r="AE151" s="23">
        <v>534</v>
      </c>
      <c r="AF151" s="24">
        <v>146</v>
      </c>
      <c r="AG151" s="23">
        <v>100</v>
      </c>
      <c r="AH151" s="24">
        <v>3798</v>
      </c>
      <c r="AI151" s="23">
        <v>804</v>
      </c>
      <c r="AJ151" s="24">
        <v>2382</v>
      </c>
      <c r="AK151" s="23">
        <v>486</v>
      </c>
      <c r="AL151" s="24">
        <v>1416</v>
      </c>
      <c r="AM151" s="23">
        <v>468</v>
      </c>
      <c r="AN151" s="24">
        <v>463</v>
      </c>
      <c r="AO151" s="23">
        <v>141</v>
      </c>
      <c r="AP151" s="24">
        <v>455</v>
      </c>
      <c r="AQ151" s="23">
        <v>141</v>
      </c>
      <c r="AR151" s="24">
        <v>8</v>
      </c>
      <c r="AS151" s="20">
        <v>13</v>
      </c>
      <c r="AT151" s="19">
        <v>14635</v>
      </c>
      <c r="AU151" s="23">
        <v>1285</v>
      </c>
      <c r="AV151" s="24">
        <v>4138</v>
      </c>
      <c r="AW151" s="23">
        <v>492</v>
      </c>
      <c r="AX151" s="24">
        <v>3765</v>
      </c>
      <c r="AY151" s="23">
        <v>533</v>
      </c>
      <c r="AZ151" s="24">
        <v>373</v>
      </c>
      <c r="BA151" s="23">
        <v>281</v>
      </c>
      <c r="BB151" s="24">
        <v>9030</v>
      </c>
      <c r="BC151" s="23">
        <v>908</v>
      </c>
      <c r="BD151" s="24">
        <v>6190</v>
      </c>
      <c r="BE151" s="23">
        <v>744</v>
      </c>
      <c r="BF151" s="24">
        <v>2840</v>
      </c>
      <c r="BG151" s="23">
        <v>591</v>
      </c>
      <c r="BH151" s="24">
        <v>1467</v>
      </c>
      <c r="BI151" s="23">
        <v>206</v>
      </c>
      <c r="BJ151" s="24">
        <v>1457</v>
      </c>
      <c r="BK151" s="23">
        <v>206</v>
      </c>
      <c r="BL151" s="24">
        <v>10</v>
      </c>
      <c r="BM151" s="20">
        <v>13</v>
      </c>
      <c r="BN151" s="19">
        <v>23163</v>
      </c>
      <c r="BO151" s="23">
        <v>1308</v>
      </c>
      <c r="BP151" s="24">
        <v>4617</v>
      </c>
      <c r="BQ151" s="23">
        <v>502</v>
      </c>
      <c r="BR151" s="24">
        <v>4514</v>
      </c>
      <c r="BS151" s="23">
        <v>508</v>
      </c>
      <c r="BT151" s="26">
        <v>103</v>
      </c>
      <c r="BU151" s="23">
        <v>87</v>
      </c>
      <c r="BV151" s="24">
        <v>15148</v>
      </c>
      <c r="BW151" s="23">
        <v>1002</v>
      </c>
      <c r="BX151" s="24">
        <v>13820</v>
      </c>
      <c r="BY151" s="23">
        <v>870</v>
      </c>
      <c r="BZ151" s="24">
        <v>1328</v>
      </c>
      <c r="CA151" s="23">
        <v>501</v>
      </c>
      <c r="CB151" s="24">
        <v>3398</v>
      </c>
      <c r="CC151" s="23">
        <v>331</v>
      </c>
      <c r="CD151" s="24">
        <v>3369</v>
      </c>
      <c r="CE151" s="23">
        <v>335</v>
      </c>
      <c r="CF151" s="24">
        <v>29</v>
      </c>
      <c r="CG151" s="20">
        <v>32</v>
      </c>
    </row>
    <row r="152" spans="1:85" x14ac:dyDescent="0.3">
      <c r="A152" t="s">
        <v>303</v>
      </c>
      <c r="B152">
        <v>20903</v>
      </c>
      <c r="C152" t="s">
        <v>304</v>
      </c>
      <c r="D152" s="19">
        <v>25930</v>
      </c>
      <c r="E152" s="20">
        <v>1412</v>
      </c>
      <c r="F152" s="19">
        <v>6146</v>
      </c>
      <c r="G152" s="23">
        <v>1326</v>
      </c>
      <c r="H152" s="24">
        <v>2244</v>
      </c>
      <c r="I152" s="23">
        <v>718</v>
      </c>
      <c r="J152" s="24">
        <v>2068</v>
      </c>
      <c r="K152" s="23">
        <v>672</v>
      </c>
      <c r="L152" s="24">
        <v>176</v>
      </c>
      <c r="M152" s="23">
        <v>150</v>
      </c>
      <c r="N152" s="24">
        <v>3368</v>
      </c>
      <c r="O152" s="23">
        <v>709</v>
      </c>
      <c r="P152" s="24">
        <v>1578</v>
      </c>
      <c r="Q152" s="23">
        <v>451</v>
      </c>
      <c r="R152" s="24">
        <v>1790</v>
      </c>
      <c r="S152" s="23">
        <v>516</v>
      </c>
      <c r="T152" s="24">
        <v>534</v>
      </c>
      <c r="U152" s="23">
        <v>275</v>
      </c>
      <c r="V152" s="24">
        <v>490</v>
      </c>
      <c r="W152" s="23">
        <v>246</v>
      </c>
      <c r="X152" s="24">
        <v>44</v>
      </c>
      <c r="Y152" s="20">
        <v>78</v>
      </c>
      <c r="Z152" s="19">
        <v>4911</v>
      </c>
      <c r="AA152" s="23">
        <v>819</v>
      </c>
      <c r="AB152" s="24">
        <v>1728</v>
      </c>
      <c r="AC152" s="23">
        <v>406</v>
      </c>
      <c r="AD152" s="24">
        <v>1527</v>
      </c>
      <c r="AE152" s="23">
        <v>401</v>
      </c>
      <c r="AF152" s="24">
        <v>201</v>
      </c>
      <c r="AG152" s="23">
        <v>121</v>
      </c>
      <c r="AH152" s="24">
        <v>2865</v>
      </c>
      <c r="AI152" s="23">
        <v>476</v>
      </c>
      <c r="AJ152" s="24">
        <v>1518</v>
      </c>
      <c r="AK152" s="23">
        <v>365</v>
      </c>
      <c r="AL152" s="24">
        <v>1347</v>
      </c>
      <c r="AM152" s="23">
        <v>370</v>
      </c>
      <c r="AN152" s="24">
        <v>318</v>
      </c>
      <c r="AO152" s="23">
        <v>131</v>
      </c>
      <c r="AP152" s="24">
        <v>313</v>
      </c>
      <c r="AQ152" s="23">
        <v>130</v>
      </c>
      <c r="AR152" s="24">
        <v>5</v>
      </c>
      <c r="AS152" s="20">
        <v>10</v>
      </c>
      <c r="AT152" s="19">
        <v>8023</v>
      </c>
      <c r="AU152" s="23">
        <v>1178</v>
      </c>
      <c r="AV152" s="24">
        <v>2144</v>
      </c>
      <c r="AW152" s="23">
        <v>469</v>
      </c>
      <c r="AX152" s="24">
        <v>2005</v>
      </c>
      <c r="AY152" s="23">
        <v>450</v>
      </c>
      <c r="AZ152" s="24">
        <v>139</v>
      </c>
      <c r="BA152" s="23">
        <v>101</v>
      </c>
      <c r="BB152" s="24">
        <v>5214</v>
      </c>
      <c r="BC152" s="23">
        <v>744</v>
      </c>
      <c r="BD152" s="24">
        <v>3058</v>
      </c>
      <c r="BE152" s="23">
        <v>495</v>
      </c>
      <c r="BF152" s="24">
        <v>2156</v>
      </c>
      <c r="BG152" s="23">
        <v>504</v>
      </c>
      <c r="BH152" s="24">
        <v>665</v>
      </c>
      <c r="BI152" s="23">
        <v>178</v>
      </c>
      <c r="BJ152" s="24">
        <v>605</v>
      </c>
      <c r="BK152" s="23">
        <v>174</v>
      </c>
      <c r="BL152" s="24">
        <v>60</v>
      </c>
      <c r="BM152" s="20">
        <v>54</v>
      </c>
      <c r="BN152" s="19">
        <v>6850</v>
      </c>
      <c r="BO152" s="23">
        <v>923</v>
      </c>
      <c r="BP152" s="24">
        <v>1249</v>
      </c>
      <c r="BQ152" s="23">
        <v>332</v>
      </c>
      <c r="BR152" s="24">
        <v>1182</v>
      </c>
      <c r="BS152" s="23">
        <v>295</v>
      </c>
      <c r="BT152" s="26">
        <v>67</v>
      </c>
      <c r="BU152" s="23">
        <v>80</v>
      </c>
      <c r="BV152" s="24">
        <v>4671</v>
      </c>
      <c r="BW152" s="23">
        <v>669</v>
      </c>
      <c r="BX152" s="24">
        <v>4101</v>
      </c>
      <c r="BY152" s="23">
        <v>596</v>
      </c>
      <c r="BZ152" s="24">
        <v>570</v>
      </c>
      <c r="CA152" s="23">
        <v>205</v>
      </c>
      <c r="CB152" s="24">
        <v>930</v>
      </c>
      <c r="CC152" s="23">
        <v>222</v>
      </c>
      <c r="CD152" s="24">
        <v>930</v>
      </c>
      <c r="CE152" s="23">
        <v>222</v>
      </c>
      <c r="CF152" s="24">
        <v>0</v>
      </c>
      <c r="CG152" s="20">
        <v>22</v>
      </c>
    </row>
    <row r="153" spans="1:85" x14ac:dyDescent="0.3">
      <c r="A153" t="s">
        <v>305</v>
      </c>
      <c r="B153">
        <v>20904</v>
      </c>
      <c r="C153" t="s">
        <v>306</v>
      </c>
      <c r="D153" s="19">
        <v>57070</v>
      </c>
      <c r="E153" s="20">
        <v>1652</v>
      </c>
      <c r="F153" s="19">
        <v>8437</v>
      </c>
      <c r="G153" s="23">
        <v>1627</v>
      </c>
      <c r="H153" s="24">
        <v>2963</v>
      </c>
      <c r="I153" s="23">
        <v>838</v>
      </c>
      <c r="J153" s="24">
        <v>2886</v>
      </c>
      <c r="K153" s="23">
        <v>839</v>
      </c>
      <c r="L153" s="24">
        <v>77</v>
      </c>
      <c r="M153" s="23">
        <v>91</v>
      </c>
      <c r="N153" s="24">
        <v>4331</v>
      </c>
      <c r="O153" s="23">
        <v>924</v>
      </c>
      <c r="P153" s="24">
        <v>2718</v>
      </c>
      <c r="Q153" s="23">
        <v>610</v>
      </c>
      <c r="R153" s="24">
        <v>1613</v>
      </c>
      <c r="S153" s="23">
        <v>675</v>
      </c>
      <c r="T153" s="24">
        <v>1143</v>
      </c>
      <c r="U153" s="23">
        <v>372</v>
      </c>
      <c r="V153" s="24">
        <v>1143</v>
      </c>
      <c r="W153" s="23">
        <v>372</v>
      </c>
      <c r="X153" s="24">
        <v>0</v>
      </c>
      <c r="Y153" s="20">
        <v>56</v>
      </c>
      <c r="Z153" s="19">
        <v>5460</v>
      </c>
      <c r="AA153" s="23">
        <v>1076</v>
      </c>
      <c r="AB153" s="24">
        <v>1601</v>
      </c>
      <c r="AC153" s="23">
        <v>435</v>
      </c>
      <c r="AD153" s="24">
        <v>1560</v>
      </c>
      <c r="AE153" s="23">
        <v>430</v>
      </c>
      <c r="AF153" s="24">
        <v>41</v>
      </c>
      <c r="AG153" s="23">
        <v>34</v>
      </c>
      <c r="AH153" s="24">
        <v>3309</v>
      </c>
      <c r="AI153" s="23">
        <v>649</v>
      </c>
      <c r="AJ153" s="24">
        <v>2080</v>
      </c>
      <c r="AK153" s="23">
        <v>464</v>
      </c>
      <c r="AL153" s="24">
        <v>1229</v>
      </c>
      <c r="AM153" s="23">
        <v>442</v>
      </c>
      <c r="AN153" s="24">
        <v>550</v>
      </c>
      <c r="AO153" s="23">
        <v>223</v>
      </c>
      <c r="AP153" s="24">
        <v>528</v>
      </c>
      <c r="AQ153" s="23">
        <v>221</v>
      </c>
      <c r="AR153" s="24">
        <v>22</v>
      </c>
      <c r="AS153" s="20">
        <v>33</v>
      </c>
      <c r="AT153" s="19">
        <v>14158</v>
      </c>
      <c r="AU153" s="23">
        <v>1527</v>
      </c>
      <c r="AV153" s="24">
        <v>3426</v>
      </c>
      <c r="AW153" s="23">
        <v>629</v>
      </c>
      <c r="AX153" s="24">
        <v>3249</v>
      </c>
      <c r="AY153" s="23">
        <v>606</v>
      </c>
      <c r="AZ153" s="24">
        <v>177</v>
      </c>
      <c r="BA153" s="23">
        <v>163</v>
      </c>
      <c r="BB153" s="24">
        <v>8711</v>
      </c>
      <c r="BC153" s="23">
        <v>893</v>
      </c>
      <c r="BD153" s="24">
        <v>6926</v>
      </c>
      <c r="BE153" s="23">
        <v>805</v>
      </c>
      <c r="BF153" s="24">
        <v>1785</v>
      </c>
      <c r="BG153" s="23">
        <v>424</v>
      </c>
      <c r="BH153" s="24">
        <v>2021</v>
      </c>
      <c r="BI153" s="23">
        <v>379</v>
      </c>
      <c r="BJ153" s="24">
        <v>2008</v>
      </c>
      <c r="BK153" s="23">
        <v>375</v>
      </c>
      <c r="BL153" s="24">
        <v>13</v>
      </c>
      <c r="BM153" s="20">
        <v>20</v>
      </c>
      <c r="BN153" s="19">
        <v>29015</v>
      </c>
      <c r="BO153" s="23">
        <v>1567</v>
      </c>
      <c r="BP153" s="24">
        <v>4859</v>
      </c>
      <c r="BQ153" s="23">
        <v>499</v>
      </c>
      <c r="BR153" s="24">
        <v>4811</v>
      </c>
      <c r="BS153" s="23">
        <v>492</v>
      </c>
      <c r="BT153" s="26">
        <v>48</v>
      </c>
      <c r="BU153" s="23">
        <v>45</v>
      </c>
      <c r="BV153" s="24">
        <v>18228</v>
      </c>
      <c r="BW153" s="23">
        <v>1202</v>
      </c>
      <c r="BX153" s="24">
        <v>17223</v>
      </c>
      <c r="BY153" s="23">
        <v>1135</v>
      </c>
      <c r="BZ153" s="24">
        <v>1005</v>
      </c>
      <c r="CA153" s="23">
        <v>294</v>
      </c>
      <c r="CB153" s="24">
        <v>5928</v>
      </c>
      <c r="CC153" s="23">
        <v>478</v>
      </c>
      <c r="CD153" s="24">
        <v>5878</v>
      </c>
      <c r="CE153" s="23">
        <v>470</v>
      </c>
      <c r="CF153" s="24">
        <v>50</v>
      </c>
      <c r="CG153" s="20">
        <v>52</v>
      </c>
    </row>
    <row r="154" spans="1:85" x14ac:dyDescent="0.3">
      <c r="A154" t="s">
        <v>307</v>
      </c>
      <c r="B154">
        <v>20905</v>
      </c>
      <c r="C154" t="s">
        <v>308</v>
      </c>
      <c r="D154" s="19">
        <v>18412</v>
      </c>
      <c r="E154" s="20">
        <v>964</v>
      </c>
      <c r="F154" s="19">
        <v>1623</v>
      </c>
      <c r="G154" s="23">
        <v>716</v>
      </c>
      <c r="H154" s="24">
        <v>458</v>
      </c>
      <c r="I154" s="23">
        <v>414</v>
      </c>
      <c r="J154" s="24">
        <v>450</v>
      </c>
      <c r="K154" s="23">
        <v>415</v>
      </c>
      <c r="L154" s="24">
        <v>8</v>
      </c>
      <c r="M154" s="23">
        <v>31</v>
      </c>
      <c r="N154" s="24">
        <v>1022</v>
      </c>
      <c r="O154" s="23">
        <v>617</v>
      </c>
      <c r="P154" s="24">
        <v>572</v>
      </c>
      <c r="Q154" s="23">
        <v>294</v>
      </c>
      <c r="R154" s="24">
        <v>450</v>
      </c>
      <c r="S154" s="23">
        <v>483</v>
      </c>
      <c r="T154" s="24">
        <v>143</v>
      </c>
      <c r="U154" s="23">
        <v>110</v>
      </c>
      <c r="V154" s="24">
        <v>125</v>
      </c>
      <c r="W154" s="23">
        <v>92</v>
      </c>
      <c r="X154" s="24">
        <v>18</v>
      </c>
      <c r="Y154" s="20">
        <v>47</v>
      </c>
      <c r="Z154" s="19">
        <v>2006</v>
      </c>
      <c r="AA154" s="23">
        <v>767</v>
      </c>
      <c r="AB154" s="24">
        <v>698</v>
      </c>
      <c r="AC154" s="23">
        <v>357</v>
      </c>
      <c r="AD154" s="24">
        <v>698</v>
      </c>
      <c r="AE154" s="23">
        <v>357</v>
      </c>
      <c r="AF154" s="24">
        <v>0</v>
      </c>
      <c r="AG154" s="23">
        <v>19</v>
      </c>
      <c r="AH154" s="24">
        <v>1030</v>
      </c>
      <c r="AI154" s="23">
        <v>494</v>
      </c>
      <c r="AJ154" s="24">
        <v>736</v>
      </c>
      <c r="AK154" s="23">
        <v>418</v>
      </c>
      <c r="AL154" s="24">
        <v>294</v>
      </c>
      <c r="AM154" s="23">
        <v>213</v>
      </c>
      <c r="AN154" s="24">
        <v>278</v>
      </c>
      <c r="AO154" s="23">
        <v>124</v>
      </c>
      <c r="AP154" s="24">
        <v>253</v>
      </c>
      <c r="AQ154" s="23">
        <v>117</v>
      </c>
      <c r="AR154" s="24">
        <v>25</v>
      </c>
      <c r="AS154" s="20">
        <v>17</v>
      </c>
      <c r="AT154" s="19">
        <v>3080</v>
      </c>
      <c r="AU154" s="23">
        <v>643</v>
      </c>
      <c r="AV154" s="24">
        <v>792</v>
      </c>
      <c r="AW154" s="23">
        <v>252</v>
      </c>
      <c r="AX154" s="24">
        <v>792</v>
      </c>
      <c r="AY154" s="23">
        <v>252</v>
      </c>
      <c r="AZ154" s="24">
        <v>0</v>
      </c>
      <c r="BA154" s="23">
        <v>19</v>
      </c>
      <c r="BB154" s="24">
        <v>1610</v>
      </c>
      <c r="BC154" s="23">
        <v>421</v>
      </c>
      <c r="BD154" s="24">
        <v>1497</v>
      </c>
      <c r="BE154" s="23">
        <v>395</v>
      </c>
      <c r="BF154" s="24">
        <v>113</v>
      </c>
      <c r="BG154" s="23">
        <v>85</v>
      </c>
      <c r="BH154" s="24">
        <v>678</v>
      </c>
      <c r="BI154" s="23">
        <v>199</v>
      </c>
      <c r="BJ154" s="24">
        <v>667</v>
      </c>
      <c r="BK154" s="23">
        <v>196</v>
      </c>
      <c r="BL154" s="24">
        <v>11</v>
      </c>
      <c r="BM154" s="20">
        <v>16</v>
      </c>
      <c r="BN154" s="19">
        <v>11703</v>
      </c>
      <c r="BO154" s="23">
        <v>848</v>
      </c>
      <c r="BP154" s="24">
        <v>1989</v>
      </c>
      <c r="BQ154" s="23">
        <v>352</v>
      </c>
      <c r="BR154" s="24">
        <v>1978</v>
      </c>
      <c r="BS154" s="23">
        <v>352</v>
      </c>
      <c r="BT154" s="26">
        <v>11</v>
      </c>
      <c r="BU154" s="23">
        <v>17</v>
      </c>
      <c r="BV154" s="24">
        <v>7608</v>
      </c>
      <c r="BW154" s="23">
        <v>659</v>
      </c>
      <c r="BX154" s="24">
        <v>7234</v>
      </c>
      <c r="BY154" s="23">
        <v>657</v>
      </c>
      <c r="BZ154" s="24">
        <v>374</v>
      </c>
      <c r="CA154" s="23">
        <v>191</v>
      </c>
      <c r="CB154" s="24">
        <v>2106</v>
      </c>
      <c r="CC154" s="23">
        <v>303</v>
      </c>
      <c r="CD154" s="24">
        <v>2090</v>
      </c>
      <c r="CE154" s="23">
        <v>299</v>
      </c>
      <c r="CF154" s="24">
        <v>16</v>
      </c>
      <c r="CG154" s="20">
        <v>34</v>
      </c>
    </row>
    <row r="155" spans="1:85" x14ac:dyDescent="0.3">
      <c r="A155" t="s">
        <v>309</v>
      </c>
      <c r="B155">
        <v>20906</v>
      </c>
      <c r="C155" t="s">
        <v>310</v>
      </c>
      <c r="D155" s="19">
        <v>69363</v>
      </c>
      <c r="E155" s="20">
        <v>1740</v>
      </c>
      <c r="F155" s="19">
        <v>11934</v>
      </c>
      <c r="G155" s="23">
        <v>2272</v>
      </c>
      <c r="H155" s="24">
        <v>4115</v>
      </c>
      <c r="I155" s="23">
        <v>1168</v>
      </c>
      <c r="J155" s="24">
        <v>3743</v>
      </c>
      <c r="K155" s="23">
        <v>1083</v>
      </c>
      <c r="L155" s="24">
        <v>372</v>
      </c>
      <c r="M155" s="23">
        <v>362</v>
      </c>
      <c r="N155" s="24">
        <v>5877</v>
      </c>
      <c r="O155" s="23">
        <v>1178</v>
      </c>
      <c r="P155" s="24">
        <v>3404</v>
      </c>
      <c r="Q155" s="23">
        <v>713</v>
      </c>
      <c r="R155" s="24">
        <v>2473</v>
      </c>
      <c r="S155" s="23">
        <v>784</v>
      </c>
      <c r="T155" s="24">
        <v>1942</v>
      </c>
      <c r="U155" s="23">
        <v>438</v>
      </c>
      <c r="V155" s="24">
        <v>1878</v>
      </c>
      <c r="W155" s="23">
        <v>415</v>
      </c>
      <c r="X155" s="24">
        <v>64</v>
      </c>
      <c r="Y155" s="20">
        <v>128</v>
      </c>
      <c r="Z155" s="19">
        <v>8471</v>
      </c>
      <c r="AA155" s="23">
        <v>1224</v>
      </c>
      <c r="AB155" s="24">
        <v>2763</v>
      </c>
      <c r="AC155" s="23">
        <v>564</v>
      </c>
      <c r="AD155" s="24">
        <v>2646</v>
      </c>
      <c r="AE155" s="23">
        <v>524</v>
      </c>
      <c r="AF155" s="24">
        <v>117</v>
      </c>
      <c r="AG155" s="23">
        <v>107</v>
      </c>
      <c r="AH155" s="24">
        <v>4558</v>
      </c>
      <c r="AI155" s="23">
        <v>726</v>
      </c>
      <c r="AJ155" s="24">
        <v>3125</v>
      </c>
      <c r="AK155" s="23">
        <v>556</v>
      </c>
      <c r="AL155" s="24">
        <v>1433</v>
      </c>
      <c r="AM155" s="23">
        <v>450</v>
      </c>
      <c r="AN155" s="24">
        <v>1150</v>
      </c>
      <c r="AO155" s="23">
        <v>243</v>
      </c>
      <c r="AP155" s="24">
        <v>1101</v>
      </c>
      <c r="AQ155" s="23">
        <v>238</v>
      </c>
      <c r="AR155" s="24">
        <v>49</v>
      </c>
      <c r="AS155" s="20">
        <v>65</v>
      </c>
      <c r="AT155" s="19">
        <v>19439</v>
      </c>
      <c r="AU155" s="23">
        <v>1933</v>
      </c>
      <c r="AV155" s="24">
        <v>4372</v>
      </c>
      <c r="AW155" s="23">
        <v>750</v>
      </c>
      <c r="AX155" s="24">
        <v>4081</v>
      </c>
      <c r="AY155" s="23">
        <v>708</v>
      </c>
      <c r="AZ155" s="24">
        <v>291</v>
      </c>
      <c r="BA155" s="23">
        <v>174</v>
      </c>
      <c r="BB155" s="24">
        <v>11487</v>
      </c>
      <c r="BC155" s="23">
        <v>1211</v>
      </c>
      <c r="BD155" s="24">
        <v>8439</v>
      </c>
      <c r="BE155" s="23">
        <v>969</v>
      </c>
      <c r="BF155" s="24">
        <v>3048</v>
      </c>
      <c r="BG155" s="23">
        <v>581</v>
      </c>
      <c r="BH155" s="24">
        <v>3580</v>
      </c>
      <c r="BI155" s="23">
        <v>373</v>
      </c>
      <c r="BJ155" s="24">
        <v>3545</v>
      </c>
      <c r="BK155" s="23">
        <v>378</v>
      </c>
      <c r="BL155" s="24">
        <v>35</v>
      </c>
      <c r="BM155" s="20">
        <v>33</v>
      </c>
      <c r="BN155" s="19">
        <v>29519</v>
      </c>
      <c r="BO155" s="23">
        <v>1559</v>
      </c>
      <c r="BP155" s="24">
        <v>4197</v>
      </c>
      <c r="BQ155" s="23">
        <v>509</v>
      </c>
      <c r="BR155" s="24">
        <v>4150</v>
      </c>
      <c r="BS155" s="23">
        <v>505</v>
      </c>
      <c r="BT155" s="26">
        <v>47</v>
      </c>
      <c r="BU155" s="23">
        <v>50</v>
      </c>
      <c r="BV155" s="24">
        <v>18635</v>
      </c>
      <c r="BW155" s="23">
        <v>1021</v>
      </c>
      <c r="BX155" s="24">
        <v>16915</v>
      </c>
      <c r="BY155" s="23">
        <v>861</v>
      </c>
      <c r="BZ155" s="24">
        <v>1720</v>
      </c>
      <c r="CA155" s="23">
        <v>384</v>
      </c>
      <c r="CB155" s="24">
        <v>6687</v>
      </c>
      <c r="CC155" s="23">
        <v>526</v>
      </c>
      <c r="CD155" s="24">
        <v>6645</v>
      </c>
      <c r="CE155" s="23">
        <v>530</v>
      </c>
      <c r="CF155" s="24">
        <v>42</v>
      </c>
      <c r="CG155" s="20">
        <v>34</v>
      </c>
    </row>
    <row r="156" spans="1:85" x14ac:dyDescent="0.3">
      <c r="A156" t="s">
        <v>311</v>
      </c>
      <c r="B156">
        <v>20910</v>
      </c>
      <c r="C156" t="s">
        <v>312</v>
      </c>
      <c r="D156" s="19">
        <v>42038</v>
      </c>
      <c r="E156" s="20">
        <v>1403</v>
      </c>
      <c r="F156" s="19">
        <v>5770</v>
      </c>
      <c r="G156" s="23">
        <v>1173</v>
      </c>
      <c r="H156" s="24">
        <v>1014</v>
      </c>
      <c r="I156" s="23">
        <v>512</v>
      </c>
      <c r="J156" s="24">
        <v>1014</v>
      </c>
      <c r="K156" s="23">
        <v>512</v>
      </c>
      <c r="L156" s="24">
        <v>0</v>
      </c>
      <c r="M156" s="23">
        <v>50</v>
      </c>
      <c r="N156" s="24">
        <v>3956</v>
      </c>
      <c r="O156" s="23">
        <v>816</v>
      </c>
      <c r="P156" s="24">
        <v>3201</v>
      </c>
      <c r="Q156" s="23">
        <v>664</v>
      </c>
      <c r="R156" s="24">
        <v>755</v>
      </c>
      <c r="S156" s="23">
        <v>394</v>
      </c>
      <c r="T156" s="24">
        <v>800</v>
      </c>
      <c r="U156" s="23">
        <v>332</v>
      </c>
      <c r="V156" s="24">
        <v>800</v>
      </c>
      <c r="W156" s="23">
        <v>332</v>
      </c>
      <c r="X156" s="24">
        <v>0</v>
      </c>
      <c r="Y156" s="20">
        <v>50</v>
      </c>
      <c r="Z156" s="19">
        <v>2841</v>
      </c>
      <c r="AA156" s="23">
        <v>658</v>
      </c>
      <c r="AB156" s="24">
        <v>619</v>
      </c>
      <c r="AC156" s="23">
        <v>266</v>
      </c>
      <c r="AD156" s="24">
        <v>619</v>
      </c>
      <c r="AE156" s="23">
        <v>266</v>
      </c>
      <c r="AF156" s="24">
        <v>0</v>
      </c>
      <c r="AG156" s="23">
        <v>25</v>
      </c>
      <c r="AH156" s="24">
        <v>1843</v>
      </c>
      <c r="AI156" s="23">
        <v>443</v>
      </c>
      <c r="AJ156" s="24">
        <v>1675</v>
      </c>
      <c r="AK156" s="23">
        <v>448</v>
      </c>
      <c r="AL156" s="24">
        <v>168</v>
      </c>
      <c r="AM156" s="23">
        <v>102</v>
      </c>
      <c r="AN156" s="24">
        <v>379</v>
      </c>
      <c r="AO156" s="23">
        <v>129</v>
      </c>
      <c r="AP156" s="24">
        <v>379</v>
      </c>
      <c r="AQ156" s="23">
        <v>129</v>
      </c>
      <c r="AR156" s="24">
        <v>0</v>
      </c>
      <c r="AS156" s="20">
        <v>25</v>
      </c>
      <c r="AT156" s="19">
        <v>9286</v>
      </c>
      <c r="AU156" s="23">
        <v>1235</v>
      </c>
      <c r="AV156" s="24">
        <v>1807</v>
      </c>
      <c r="AW156" s="23">
        <v>478</v>
      </c>
      <c r="AX156" s="24">
        <v>1781</v>
      </c>
      <c r="AY156" s="23">
        <v>472</v>
      </c>
      <c r="AZ156" s="24">
        <v>26</v>
      </c>
      <c r="BA156" s="23">
        <v>39</v>
      </c>
      <c r="BB156" s="24">
        <v>6588</v>
      </c>
      <c r="BC156" s="23">
        <v>887</v>
      </c>
      <c r="BD156" s="24">
        <v>5963</v>
      </c>
      <c r="BE156" s="23">
        <v>824</v>
      </c>
      <c r="BF156" s="24">
        <v>625</v>
      </c>
      <c r="BG156" s="23">
        <v>305</v>
      </c>
      <c r="BH156" s="24">
        <v>891</v>
      </c>
      <c r="BI156" s="23">
        <v>206</v>
      </c>
      <c r="BJ156" s="24">
        <v>881</v>
      </c>
      <c r="BK156" s="23">
        <v>203</v>
      </c>
      <c r="BL156" s="24">
        <v>10</v>
      </c>
      <c r="BM156" s="20">
        <v>17</v>
      </c>
      <c r="BN156" s="19">
        <v>24141</v>
      </c>
      <c r="BO156" s="23">
        <v>1315</v>
      </c>
      <c r="BP156" s="24">
        <v>3962</v>
      </c>
      <c r="BQ156" s="23">
        <v>494</v>
      </c>
      <c r="BR156" s="24">
        <v>3962</v>
      </c>
      <c r="BS156" s="23">
        <v>494</v>
      </c>
      <c r="BT156" s="26">
        <v>0</v>
      </c>
      <c r="BU156" s="23">
        <v>25</v>
      </c>
      <c r="BV156" s="24">
        <v>17471</v>
      </c>
      <c r="BW156" s="23">
        <v>1029</v>
      </c>
      <c r="BX156" s="24">
        <v>16556</v>
      </c>
      <c r="BY156" s="23">
        <v>910</v>
      </c>
      <c r="BZ156" s="24">
        <v>915</v>
      </c>
      <c r="CA156" s="23">
        <v>385</v>
      </c>
      <c r="CB156" s="24">
        <v>2708</v>
      </c>
      <c r="CC156" s="23">
        <v>369</v>
      </c>
      <c r="CD156" s="24">
        <v>2701</v>
      </c>
      <c r="CE156" s="23">
        <v>368</v>
      </c>
      <c r="CF156" s="24">
        <v>7</v>
      </c>
      <c r="CG156" s="20">
        <v>13</v>
      </c>
    </row>
    <row r="157" spans="1:85" x14ac:dyDescent="0.3">
      <c r="A157" t="s">
        <v>313</v>
      </c>
      <c r="B157">
        <v>20912</v>
      </c>
      <c r="C157" t="s">
        <v>314</v>
      </c>
      <c r="D157" s="19">
        <v>25619</v>
      </c>
      <c r="E157" s="20">
        <v>981</v>
      </c>
      <c r="F157" s="19">
        <v>4477</v>
      </c>
      <c r="G157" s="23">
        <v>1049</v>
      </c>
      <c r="H157" s="24">
        <v>1325</v>
      </c>
      <c r="I157" s="23">
        <v>541</v>
      </c>
      <c r="J157" s="24">
        <v>1302</v>
      </c>
      <c r="K157" s="23">
        <v>539</v>
      </c>
      <c r="L157" s="24">
        <v>23</v>
      </c>
      <c r="M157" s="23">
        <v>51</v>
      </c>
      <c r="N157" s="24">
        <v>2810</v>
      </c>
      <c r="O157" s="23">
        <v>641</v>
      </c>
      <c r="P157" s="24">
        <v>1798</v>
      </c>
      <c r="Q157" s="23">
        <v>496</v>
      </c>
      <c r="R157" s="24">
        <v>1012</v>
      </c>
      <c r="S157" s="23">
        <v>409</v>
      </c>
      <c r="T157" s="24">
        <v>342</v>
      </c>
      <c r="U157" s="23">
        <v>142</v>
      </c>
      <c r="V157" s="24">
        <v>311</v>
      </c>
      <c r="W157" s="23">
        <v>137</v>
      </c>
      <c r="X157" s="24">
        <v>31</v>
      </c>
      <c r="Y157" s="20">
        <v>54</v>
      </c>
      <c r="Z157" s="19">
        <v>2793</v>
      </c>
      <c r="AA157" s="23">
        <v>585</v>
      </c>
      <c r="AB157" s="24">
        <v>932</v>
      </c>
      <c r="AC157" s="23">
        <v>280</v>
      </c>
      <c r="AD157" s="24">
        <v>810</v>
      </c>
      <c r="AE157" s="23">
        <v>239</v>
      </c>
      <c r="AF157" s="24">
        <v>122</v>
      </c>
      <c r="AG157" s="23">
        <v>124</v>
      </c>
      <c r="AH157" s="24">
        <v>1594</v>
      </c>
      <c r="AI157" s="23">
        <v>392</v>
      </c>
      <c r="AJ157" s="24">
        <v>893</v>
      </c>
      <c r="AK157" s="23">
        <v>273</v>
      </c>
      <c r="AL157" s="24">
        <v>701</v>
      </c>
      <c r="AM157" s="23">
        <v>220</v>
      </c>
      <c r="AN157" s="24">
        <v>267</v>
      </c>
      <c r="AO157" s="23">
        <v>140</v>
      </c>
      <c r="AP157" s="24">
        <v>259</v>
      </c>
      <c r="AQ157" s="23">
        <v>139</v>
      </c>
      <c r="AR157" s="24">
        <v>8</v>
      </c>
      <c r="AS157" s="20">
        <v>13</v>
      </c>
      <c r="AT157" s="19">
        <v>6320</v>
      </c>
      <c r="AU157" s="23">
        <v>993</v>
      </c>
      <c r="AV157" s="24">
        <v>1328</v>
      </c>
      <c r="AW157" s="23">
        <v>366</v>
      </c>
      <c r="AX157" s="24">
        <v>1233</v>
      </c>
      <c r="AY157" s="23">
        <v>347</v>
      </c>
      <c r="AZ157" s="24">
        <v>95</v>
      </c>
      <c r="BA157" s="23">
        <v>79</v>
      </c>
      <c r="BB157" s="24">
        <v>4501</v>
      </c>
      <c r="BC157" s="23">
        <v>696</v>
      </c>
      <c r="BD157" s="24">
        <v>3422</v>
      </c>
      <c r="BE157" s="23">
        <v>591</v>
      </c>
      <c r="BF157" s="24">
        <v>1079</v>
      </c>
      <c r="BG157" s="23">
        <v>283</v>
      </c>
      <c r="BH157" s="24">
        <v>491</v>
      </c>
      <c r="BI157" s="23">
        <v>149</v>
      </c>
      <c r="BJ157" s="24">
        <v>471</v>
      </c>
      <c r="BK157" s="23">
        <v>142</v>
      </c>
      <c r="BL157" s="24">
        <v>20</v>
      </c>
      <c r="BM157" s="20">
        <v>30</v>
      </c>
      <c r="BN157" s="19">
        <v>12029</v>
      </c>
      <c r="BO157" s="23">
        <v>602</v>
      </c>
      <c r="BP157" s="24">
        <v>2708</v>
      </c>
      <c r="BQ157" s="23">
        <v>329</v>
      </c>
      <c r="BR157" s="24">
        <v>2605</v>
      </c>
      <c r="BS157" s="23">
        <v>329</v>
      </c>
      <c r="BT157" s="26">
        <v>103</v>
      </c>
      <c r="BU157" s="23">
        <v>86</v>
      </c>
      <c r="BV157" s="24">
        <v>8242</v>
      </c>
      <c r="BW157" s="23">
        <v>474</v>
      </c>
      <c r="BX157" s="24">
        <v>7707</v>
      </c>
      <c r="BY157" s="23">
        <v>450</v>
      </c>
      <c r="BZ157" s="24">
        <v>535</v>
      </c>
      <c r="CA157" s="23">
        <v>207</v>
      </c>
      <c r="CB157" s="24">
        <v>1079</v>
      </c>
      <c r="CC157" s="23">
        <v>180</v>
      </c>
      <c r="CD157" s="24">
        <v>1037</v>
      </c>
      <c r="CE157" s="23">
        <v>174</v>
      </c>
      <c r="CF157" s="24">
        <v>42</v>
      </c>
      <c r="CG157" s="20">
        <v>61</v>
      </c>
    </row>
    <row r="158" spans="1:85" x14ac:dyDescent="0.3">
      <c r="A158" t="s">
        <v>315</v>
      </c>
      <c r="B158">
        <v>21001</v>
      </c>
      <c r="C158" t="s">
        <v>316</v>
      </c>
      <c r="D158" s="19">
        <v>24279</v>
      </c>
      <c r="E158" s="20">
        <v>830</v>
      </c>
      <c r="F158" s="19">
        <v>4932</v>
      </c>
      <c r="G158" s="23">
        <v>937</v>
      </c>
      <c r="H158" s="24">
        <v>1483</v>
      </c>
      <c r="I158" s="23">
        <v>497</v>
      </c>
      <c r="J158" s="24">
        <v>1483</v>
      </c>
      <c r="K158" s="23">
        <v>497</v>
      </c>
      <c r="L158" s="24">
        <v>0</v>
      </c>
      <c r="M158" s="23">
        <v>44</v>
      </c>
      <c r="N158" s="24">
        <v>2899</v>
      </c>
      <c r="O158" s="23">
        <v>627</v>
      </c>
      <c r="P158" s="24">
        <v>2463</v>
      </c>
      <c r="Q158" s="23">
        <v>562</v>
      </c>
      <c r="R158" s="24">
        <v>436</v>
      </c>
      <c r="S158" s="23">
        <v>192</v>
      </c>
      <c r="T158" s="24">
        <v>550</v>
      </c>
      <c r="U158" s="23">
        <v>198</v>
      </c>
      <c r="V158" s="24">
        <v>550</v>
      </c>
      <c r="W158" s="23">
        <v>198</v>
      </c>
      <c r="X158" s="24">
        <v>0</v>
      </c>
      <c r="Y158" s="20">
        <v>44</v>
      </c>
      <c r="Z158" s="19">
        <v>2412</v>
      </c>
      <c r="AA158" s="23">
        <v>625</v>
      </c>
      <c r="AB158" s="24">
        <v>675</v>
      </c>
      <c r="AC158" s="23">
        <v>360</v>
      </c>
      <c r="AD158" s="24">
        <v>675</v>
      </c>
      <c r="AE158" s="23">
        <v>360</v>
      </c>
      <c r="AF158" s="24">
        <v>0</v>
      </c>
      <c r="AG158" s="23">
        <v>22</v>
      </c>
      <c r="AH158" s="24">
        <v>1355</v>
      </c>
      <c r="AI158" s="23">
        <v>324</v>
      </c>
      <c r="AJ158" s="24">
        <v>1055</v>
      </c>
      <c r="AK158" s="23">
        <v>202</v>
      </c>
      <c r="AL158" s="24">
        <v>300</v>
      </c>
      <c r="AM158" s="23">
        <v>196</v>
      </c>
      <c r="AN158" s="24">
        <v>382</v>
      </c>
      <c r="AO158" s="23">
        <v>112</v>
      </c>
      <c r="AP158" s="24">
        <v>382</v>
      </c>
      <c r="AQ158" s="23">
        <v>112</v>
      </c>
      <c r="AR158" s="24">
        <v>0</v>
      </c>
      <c r="AS158" s="20">
        <v>22</v>
      </c>
      <c r="AT158" s="19">
        <v>7504</v>
      </c>
      <c r="AU158" s="23">
        <v>983</v>
      </c>
      <c r="AV158" s="24">
        <v>2038</v>
      </c>
      <c r="AW158" s="23">
        <v>388</v>
      </c>
      <c r="AX158" s="24">
        <v>1994</v>
      </c>
      <c r="AY158" s="23">
        <v>394</v>
      </c>
      <c r="AZ158" s="24">
        <v>44</v>
      </c>
      <c r="BA158" s="23">
        <v>48</v>
      </c>
      <c r="BB158" s="24">
        <v>4375</v>
      </c>
      <c r="BC158" s="23">
        <v>627</v>
      </c>
      <c r="BD158" s="24">
        <v>3916</v>
      </c>
      <c r="BE158" s="23">
        <v>590</v>
      </c>
      <c r="BF158" s="24">
        <v>459</v>
      </c>
      <c r="BG158" s="23">
        <v>244</v>
      </c>
      <c r="BH158" s="24">
        <v>1091</v>
      </c>
      <c r="BI158" s="23">
        <v>232</v>
      </c>
      <c r="BJ158" s="24">
        <v>1091</v>
      </c>
      <c r="BK158" s="23">
        <v>232</v>
      </c>
      <c r="BL158" s="24">
        <v>0</v>
      </c>
      <c r="BM158" s="20">
        <v>22</v>
      </c>
      <c r="BN158" s="19">
        <v>9431</v>
      </c>
      <c r="BO158" s="23">
        <v>894</v>
      </c>
      <c r="BP158" s="24">
        <v>1492</v>
      </c>
      <c r="BQ158" s="23">
        <v>399</v>
      </c>
      <c r="BR158" s="24">
        <v>1481</v>
      </c>
      <c r="BS158" s="23">
        <v>396</v>
      </c>
      <c r="BT158" s="26">
        <v>11</v>
      </c>
      <c r="BU158" s="23">
        <v>18</v>
      </c>
      <c r="BV158" s="24">
        <v>6617</v>
      </c>
      <c r="BW158" s="23">
        <v>609</v>
      </c>
      <c r="BX158" s="24">
        <v>6421</v>
      </c>
      <c r="BY158" s="23">
        <v>595</v>
      </c>
      <c r="BZ158" s="24">
        <v>196</v>
      </c>
      <c r="CA158" s="23">
        <v>96</v>
      </c>
      <c r="CB158" s="24">
        <v>1322</v>
      </c>
      <c r="CC158" s="23">
        <v>207</v>
      </c>
      <c r="CD158" s="24">
        <v>1322</v>
      </c>
      <c r="CE158" s="23">
        <v>207</v>
      </c>
      <c r="CF158" s="24">
        <v>0</v>
      </c>
      <c r="CG158" s="20">
        <v>22</v>
      </c>
    </row>
    <row r="159" spans="1:85" x14ac:dyDescent="0.3">
      <c r="A159" t="s">
        <v>317</v>
      </c>
      <c r="B159">
        <v>21005</v>
      </c>
      <c r="C159" t="s">
        <v>318</v>
      </c>
      <c r="D159" s="19">
        <v>1912</v>
      </c>
      <c r="E159" s="20">
        <v>195</v>
      </c>
      <c r="F159" s="19">
        <v>469</v>
      </c>
      <c r="G159" s="23">
        <v>256</v>
      </c>
      <c r="H159" s="24">
        <v>326</v>
      </c>
      <c r="I159" s="23">
        <v>189</v>
      </c>
      <c r="J159" s="24">
        <v>326</v>
      </c>
      <c r="K159" s="23">
        <v>189</v>
      </c>
      <c r="L159" s="24">
        <v>0</v>
      </c>
      <c r="M159" s="23">
        <v>24</v>
      </c>
      <c r="N159" s="24">
        <v>143</v>
      </c>
      <c r="O159" s="23">
        <v>102</v>
      </c>
      <c r="P159" s="24">
        <v>142</v>
      </c>
      <c r="Q159" s="23">
        <v>97</v>
      </c>
      <c r="R159" s="24">
        <v>1</v>
      </c>
      <c r="S159" s="23">
        <v>29</v>
      </c>
      <c r="T159" s="24">
        <v>0</v>
      </c>
      <c r="U159" s="23">
        <v>24</v>
      </c>
      <c r="V159" s="24">
        <v>0</v>
      </c>
      <c r="W159" s="23">
        <v>24</v>
      </c>
      <c r="X159" s="24">
        <v>0</v>
      </c>
      <c r="Y159" s="20">
        <v>24</v>
      </c>
      <c r="Z159" s="19">
        <v>251</v>
      </c>
      <c r="AA159" s="23">
        <v>178</v>
      </c>
      <c r="AB159" s="24">
        <v>89</v>
      </c>
      <c r="AC159" s="23">
        <v>81</v>
      </c>
      <c r="AD159" s="24">
        <v>89</v>
      </c>
      <c r="AE159" s="23">
        <v>81</v>
      </c>
      <c r="AF159" s="24">
        <v>0</v>
      </c>
      <c r="AG159" s="23">
        <v>12</v>
      </c>
      <c r="AH159" s="24">
        <v>162</v>
      </c>
      <c r="AI159" s="23">
        <v>116</v>
      </c>
      <c r="AJ159" s="24">
        <v>162</v>
      </c>
      <c r="AK159" s="23">
        <v>116</v>
      </c>
      <c r="AL159" s="24">
        <v>0</v>
      </c>
      <c r="AM159" s="23">
        <v>12</v>
      </c>
      <c r="AN159" s="24">
        <v>0</v>
      </c>
      <c r="AO159" s="23">
        <v>12</v>
      </c>
      <c r="AP159" s="24">
        <v>0</v>
      </c>
      <c r="AQ159" s="23">
        <v>12</v>
      </c>
      <c r="AR159" s="24">
        <v>0</v>
      </c>
      <c r="AS159" s="20">
        <v>12</v>
      </c>
      <c r="AT159" s="19">
        <v>472</v>
      </c>
      <c r="AU159" s="23">
        <v>231</v>
      </c>
      <c r="AV159" s="24">
        <v>199</v>
      </c>
      <c r="AW159" s="23">
        <v>100</v>
      </c>
      <c r="AX159" s="24">
        <v>199</v>
      </c>
      <c r="AY159" s="23">
        <v>100</v>
      </c>
      <c r="AZ159" s="24">
        <v>0</v>
      </c>
      <c r="BA159" s="23">
        <v>12</v>
      </c>
      <c r="BB159" s="24">
        <v>266</v>
      </c>
      <c r="BC159" s="23">
        <v>150</v>
      </c>
      <c r="BD159" s="24">
        <v>266</v>
      </c>
      <c r="BE159" s="23">
        <v>150</v>
      </c>
      <c r="BF159" s="24">
        <v>0</v>
      </c>
      <c r="BG159" s="23">
        <v>12</v>
      </c>
      <c r="BH159" s="24">
        <v>7</v>
      </c>
      <c r="BI159" s="23">
        <v>12</v>
      </c>
      <c r="BJ159" s="24">
        <v>7</v>
      </c>
      <c r="BK159" s="23">
        <v>12</v>
      </c>
      <c r="BL159" s="24">
        <v>0</v>
      </c>
      <c r="BM159" s="20">
        <v>12</v>
      </c>
      <c r="BN159" s="19">
        <v>720</v>
      </c>
      <c r="BO159" s="23">
        <v>200</v>
      </c>
      <c r="BP159" s="24">
        <v>184</v>
      </c>
      <c r="BQ159" s="23">
        <v>91</v>
      </c>
      <c r="BR159" s="24">
        <v>184</v>
      </c>
      <c r="BS159" s="23">
        <v>91</v>
      </c>
      <c r="BT159" s="26">
        <v>0</v>
      </c>
      <c r="BU159" s="23">
        <v>12</v>
      </c>
      <c r="BV159" s="24">
        <v>504</v>
      </c>
      <c r="BW159" s="23">
        <v>127</v>
      </c>
      <c r="BX159" s="24">
        <v>493</v>
      </c>
      <c r="BY159" s="23">
        <v>124</v>
      </c>
      <c r="BZ159" s="24">
        <v>11</v>
      </c>
      <c r="CA159" s="23">
        <v>18</v>
      </c>
      <c r="CB159" s="24">
        <v>32</v>
      </c>
      <c r="CC159" s="23">
        <v>24</v>
      </c>
      <c r="CD159" s="24">
        <v>32</v>
      </c>
      <c r="CE159" s="23">
        <v>24</v>
      </c>
      <c r="CF159" s="24">
        <v>0</v>
      </c>
      <c r="CG159" s="20">
        <v>12</v>
      </c>
    </row>
    <row r="160" spans="1:85" x14ac:dyDescent="0.3">
      <c r="A160" t="s">
        <v>319</v>
      </c>
      <c r="B160">
        <v>21009</v>
      </c>
      <c r="C160" t="s">
        <v>320</v>
      </c>
      <c r="D160" s="19">
        <v>29624</v>
      </c>
      <c r="E160" s="20">
        <v>909</v>
      </c>
      <c r="F160" s="19">
        <v>2854</v>
      </c>
      <c r="G160" s="23">
        <v>821</v>
      </c>
      <c r="H160" s="24">
        <v>897</v>
      </c>
      <c r="I160" s="23">
        <v>456</v>
      </c>
      <c r="J160" s="24">
        <v>868</v>
      </c>
      <c r="K160" s="23">
        <v>429</v>
      </c>
      <c r="L160" s="24">
        <v>29</v>
      </c>
      <c r="M160" s="23">
        <v>65</v>
      </c>
      <c r="N160" s="24">
        <v>1507</v>
      </c>
      <c r="O160" s="23">
        <v>420</v>
      </c>
      <c r="P160" s="24">
        <v>1349</v>
      </c>
      <c r="Q160" s="23">
        <v>409</v>
      </c>
      <c r="R160" s="24">
        <v>158</v>
      </c>
      <c r="S160" s="23">
        <v>105</v>
      </c>
      <c r="T160" s="24">
        <v>450</v>
      </c>
      <c r="U160" s="23">
        <v>177</v>
      </c>
      <c r="V160" s="24">
        <v>450</v>
      </c>
      <c r="W160" s="23">
        <v>177</v>
      </c>
      <c r="X160" s="24">
        <v>0</v>
      </c>
      <c r="Y160" s="20">
        <v>44</v>
      </c>
      <c r="Z160" s="19">
        <v>1643</v>
      </c>
      <c r="AA160" s="23">
        <v>503</v>
      </c>
      <c r="AB160" s="24">
        <v>498</v>
      </c>
      <c r="AC160" s="23">
        <v>206</v>
      </c>
      <c r="AD160" s="24">
        <v>498</v>
      </c>
      <c r="AE160" s="23">
        <v>206</v>
      </c>
      <c r="AF160" s="24">
        <v>0</v>
      </c>
      <c r="AG160" s="23">
        <v>22</v>
      </c>
      <c r="AH160" s="24">
        <v>838</v>
      </c>
      <c r="AI160" s="23">
        <v>277</v>
      </c>
      <c r="AJ160" s="24">
        <v>650</v>
      </c>
      <c r="AK160" s="23">
        <v>228</v>
      </c>
      <c r="AL160" s="24">
        <v>188</v>
      </c>
      <c r="AM160" s="23">
        <v>147</v>
      </c>
      <c r="AN160" s="24">
        <v>307</v>
      </c>
      <c r="AO160" s="23">
        <v>114</v>
      </c>
      <c r="AP160" s="24">
        <v>307</v>
      </c>
      <c r="AQ160" s="23">
        <v>114</v>
      </c>
      <c r="AR160" s="24">
        <v>0</v>
      </c>
      <c r="AS160" s="20">
        <v>22</v>
      </c>
      <c r="AT160" s="19">
        <v>7771</v>
      </c>
      <c r="AU160" s="23">
        <v>784</v>
      </c>
      <c r="AV160" s="24">
        <v>2374</v>
      </c>
      <c r="AW160" s="23">
        <v>364</v>
      </c>
      <c r="AX160" s="24">
        <v>2230</v>
      </c>
      <c r="AY160" s="23">
        <v>362</v>
      </c>
      <c r="AZ160" s="24">
        <v>144</v>
      </c>
      <c r="BA160" s="23">
        <v>116</v>
      </c>
      <c r="BB160" s="24">
        <v>4490</v>
      </c>
      <c r="BC160" s="23">
        <v>528</v>
      </c>
      <c r="BD160" s="24">
        <v>4126</v>
      </c>
      <c r="BE160" s="23">
        <v>511</v>
      </c>
      <c r="BF160" s="24">
        <v>364</v>
      </c>
      <c r="BG160" s="23">
        <v>185</v>
      </c>
      <c r="BH160" s="24">
        <v>907</v>
      </c>
      <c r="BI160" s="23">
        <v>148</v>
      </c>
      <c r="BJ160" s="24">
        <v>907</v>
      </c>
      <c r="BK160" s="23">
        <v>148</v>
      </c>
      <c r="BL160" s="24">
        <v>0</v>
      </c>
      <c r="BM160" s="20">
        <v>22</v>
      </c>
      <c r="BN160" s="19">
        <v>17356</v>
      </c>
      <c r="BO160" s="23">
        <v>965</v>
      </c>
      <c r="BP160" s="24">
        <v>3737</v>
      </c>
      <c r="BQ160" s="23">
        <v>393</v>
      </c>
      <c r="BR160" s="24">
        <v>3681</v>
      </c>
      <c r="BS160" s="23">
        <v>386</v>
      </c>
      <c r="BT160" s="26">
        <v>56</v>
      </c>
      <c r="BU160" s="23">
        <v>46</v>
      </c>
      <c r="BV160" s="24">
        <v>12296</v>
      </c>
      <c r="BW160" s="23">
        <v>687</v>
      </c>
      <c r="BX160" s="24">
        <v>11970</v>
      </c>
      <c r="BY160" s="23">
        <v>673</v>
      </c>
      <c r="BZ160" s="24">
        <v>326</v>
      </c>
      <c r="CA160" s="23">
        <v>124</v>
      </c>
      <c r="CB160" s="24">
        <v>1323</v>
      </c>
      <c r="CC160" s="23">
        <v>183</v>
      </c>
      <c r="CD160" s="24">
        <v>1323</v>
      </c>
      <c r="CE160" s="23">
        <v>183</v>
      </c>
      <c r="CF160" s="24">
        <v>0</v>
      </c>
      <c r="CG160" s="20">
        <v>22</v>
      </c>
    </row>
    <row r="161" spans="1:85" x14ac:dyDescent="0.3">
      <c r="A161" t="s">
        <v>321</v>
      </c>
      <c r="B161">
        <v>21010</v>
      </c>
      <c r="C161" t="s">
        <v>322</v>
      </c>
      <c r="D161" s="19">
        <v>99</v>
      </c>
      <c r="E161" s="20">
        <v>44</v>
      </c>
      <c r="F161" s="19">
        <v>13</v>
      </c>
      <c r="G161" s="23">
        <v>34</v>
      </c>
      <c r="H161" s="24">
        <v>0</v>
      </c>
      <c r="I161" s="23">
        <v>24</v>
      </c>
      <c r="J161" s="24">
        <v>0</v>
      </c>
      <c r="K161" s="23">
        <v>24</v>
      </c>
      <c r="L161" s="24">
        <v>0</v>
      </c>
      <c r="M161" s="23">
        <v>24</v>
      </c>
      <c r="N161" s="24">
        <v>13</v>
      </c>
      <c r="O161" s="23">
        <v>34</v>
      </c>
      <c r="P161" s="24">
        <v>13</v>
      </c>
      <c r="Q161" s="23">
        <v>34</v>
      </c>
      <c r="R161" s="24">
        <v>0</v>
      </c>
      <c r="S161" s="23">
        <v>24</v>
      </c>
      <c r="T161" s="24">
        <v>0</v>
      </c>
      <c r="U161" s="23">
        <v>24</v>
      </c>
      <c r="V161" s="24">
        <v>0</v>
      </c>
      <c r="W161" s="23">
        <v>24</v>
      </c>
      <c r="X161" s="24">
        <v>0</v>
      </c>
      <c r="Y161" s="20">
        <v>24</v>
      </c>
      <c r="Z161" s="19">
        <v>32</v>
      </c>
      <c r="AA161" s="23">
        <v>29</v>
      </c>
      <c r="AB161" s="24">
        <v>13</v>
      </c>
      <c r="AC161" s="23">
        <v>20</v>
      </c>
      <c r="AD161" s="24">
        <v>13</v>
      </c>
      <c r="AE161" s="23">
        <v>20</v>
      </c>
      <c r="AF161" s="24">
        <v>0</v>
      </c>
      <c r="AG161" s="23">
        <v>12</v>
      </c>
      <c r="AH161" s="24">
        <v>19</v>
      </c>
      <c r="AI161" s="23">
        <v>20</v>
      </c>
      <c r="AJ161" s="24">
        <v>19</v>
      </c>
      <c r="AK161" s="23">
        <v>20</v>
      </c>
      <c r="AL161" s="24">
        <v>0</v>
      </c>
      <c r="AM161" s="23">
        <v>12</v>
      </c>
      <c r="AN161" s="24">
        <v>0</v>
      </c>
      <c r="AO161" s="23">
        <v>12</v>
      </c>
      <c r="AP161" s="24">
        <v>0</v>
      </c>
      <c r="AQ161" s="23">
        <v>12</v>
      </c>
      <c r="AR161" s="24">
        <v>0</v>
      </c>
      <c r="AS161" s="20">
        <v>12</v>
      </c>
      <c r="AT161" s="19">
        <v>2</v>
      </c>
      <c r="AU161" s="23">
        <v>6</v>
      </c>
      <c r="AV161" s="24">
        <v>0</v>
      </c>
      <c r="AW161" s="23">
        <v>12</v>
      </c>
      <c r="AX161" s="24">
        <v>0</v>
      </c>
      <c r="AY161" s="23">
        <v>12</v>
      </c>
      <c r="AZ161" s="24">
        <v>0</v>
      </c>
      <c r="BA161" s="23">
        <v>12</v>
      </c>
      <c r="BB161" s="24">
        <v>2</v>
      </c>
      <c r="BC161" s="23">
        <v>6</v>
      </c>
      <c r="BD161" s="24">
        <v>2</v>
      </c>
      <c r="BE161" s="23">
        <v>6</v>
      </c>
      <c r="BF161" s="24">
        <v>0</v>
      </c>
      <c r="BG161" s="23">
        <v>12</v>
      </c>
      <c r="BH161" s="24">
        <v>0</v>
      </c>
      <c r="BI161" s="23">
        <v>12</v>
      </c>
      <c r="BJ161" s="24">
        <v>0</v>
      </c>
      <c r="BK161" s="23">
        <v>12</v>
      </c>
      <c r="BL161" s="24">
        <v>0</v>
      </c>
      <c r="BM161" s="20">
        <v>12</v>
      </c>
      <c r="BN161" s="19">
        <v>52</v>
      </c>
      <c r="BO161" s="23">
        <v>40</v>
      </c>
      <c r="BP161" s="24">
        <v>12</v>
      </c>
      <c r="BQ161" s="23">
        <v>19</v>
      </c>
      <c r="BR161" s="24">
        <v>12</v>
      </c>
      <c r="BS161" s="23">
        <v>19</v>
      </c>
      <c r="BT161" s="26">
        <v>0</v>
      </c>
      <c r="BU161" s="23">
        <v>12</v>
      </c>
      <c r="BV161" s="24">
        <v>40</v>
      </c>
      <c r="BW161" s="23">
        <v>26</v>
      </c>
      <c r="BX161" s="24">
        <v>40</v>
      </c>
      <c r="BY161" s="23">
        <v>26</v>
      </c>
      <c r="BZ161" s="24">
        <v>0</v>
      </c>
      <c r="CA161" s="23">
        <v>12</v>
      </c>
      <c r="CB161" s="24">
        <v>0</v>
      </c>
      <c r="CC161" s="23">
        <v>12</v>
      </c>
      <c r="CD161" s="24">
        <v>0</v>
      </c>
      <c r="CE161" s="23">
        <v>12</v>
      </c>
      <c r="CF161" s="24">
        <v>0</v>
      </c>
      <c r="CG161" s="20">
        <v>12</v>
      </c>
    </row>
    <row r="162" spans="1:85" x14ac:dyDescent="0.3">
      <c r="A162" t="s">
        <v>323</v>
      </c>
      <c r="B162">
        <v>21012</v>
      </c>
      <c r="C162" t="s">
        <v>324</v>
      </c>
      <c r="D162" s="19">
        <v>20995</v>
      </c>
      <c r="E162" s="20">
        <v>677</v>
      </c>
      <c r="F162" s="19">
        <v>1196</v>
      </c>
      <c r="G162" s="23">
        <v>478</v>
      </c>
      <c r="H162" s="24">
        <v>271</v>
      </c>
      <c r="I162" s="23">
        <v>218</v>
      </c>
      <c r="J162" s="24">
        <v>198</v>
      </c>
      <c r="K162" s="23">
        <v>166</v>
      </c>
      <c r="L162" s="24">
        <v>73</v>
      </c>
      <c r="M162" s="23">
        <v>79</v>
      </c>
      <c r="N162" s="24">
        <v>627</v>
      </c>
      <c r="O162" s="23">
        <v>259</v>
      </c>
      <c r="P162" s="24">
        <v>472</v>
      </c>
      <c r="Q162" s="23">
        <v>191</v>
      </c>
      <c r="R162" s="24">
        <v>155</v>
      </c>
      <c r="S162" s="23">
        <v>135</v>
      </c>
      <c r="T162" s="24">
        <v>298</v>
      </c>
      <c r="U162" s="23">
        <v>177</v>
      </c>
      <c r="V162" s="24">
        <v>287</v>
      </c>
      <c r="W162" s="23">
        <v>176</v>
      </c>
      <c r="X162" s="24">
        <v>11</v>
      </c>
      <c r="Y162" s="20">
        <v>48</v>
      </c>
      <c r="Z162" s="19">
        <v>930</v>
      </c>
      <c r="AA162" s="23">
        <v>352</v>
      </c>
      <c r="AB162" s="24">
        <v>340</v>
      </c>
      <c r="AC162" s="23">
        <v>206</v>
      </c>
      <c r="AD162" s="24">
        <v>314</v>
      </c>
      <c r="AE162" s="23">
        <v>197</v>
      </c>
      <c r="AF162" s="24">
        <v>26</v>
      </c>
      <c r="AG162" s="23">
        <v>32</v>
      </c>
      <c r="AH162" s="24">
        <v>376</v>
      </c>
      <c r="AI162" s="23">
        <v>171</v>
      </c>
      <c r="AJ162" s="24">
        <v>336</v>
      </c>
      <c r="AK162" s="23">
        <v>160</v>
      </c>
      <c r="AL162" s="24">
        <v>40</v>
      </c>
      <c r="AM162" s="23">
        <v>44</v>
      </c>
      <c r="AN162" s="24">
        <v>214</v>
      </c>
      <c r="AO162" s="23">
        <v>101</v>
      </c>
      <c r="AP162" s="24">
        <v>214</v>
      </c>
      <c r="AQ162" s="23">
        <v>101</v>
      </c>
      <c r="AR162" s="24">
        <v>0</v>
      </c>
      <c r="AS162" s="20">
        <v>22</v>
      </c>
      <c r="AT162" s="19">
        <v>4376</v>
      </c>
      <c r="AU162" s="23">
        <v>763</v>
      </c>
      <c r="AV162" s="24">
        <v>1543</v>
      </c>
      <c r="AW162" s="23">
        <v>467</v>
      </c>
      <c r="AX162" s="24">
        <v>1520</v>
      </c>
      <c r="AY162" s="23">
        <v>468</v>
      </c>
      <c r="AZ162" s="24">
        <v>23</v>
      </c>
      <c r="BA162" s="23">
        <v>25</v>
      </c>
      <c r="BB162" s="24">
        <v>2369</v>
      </c>
      <c r="BC162" s="23">
        <v>370</v>
      </c>
      <c r="BD162" s="24">
        <v>2102</v>
      </c>
      <c r="BE162" s="23">
        <v>365</v>
      </c>
      <c r="BF162" s="24">
        <v>267</v>
      </c>
      <c r="BG162" s="23">
        <v>169</v>
      </c>
      <c r="BH162" s="24">
        <v>464</v>
      </c>
      <c r="BI162" s="23">
        <v>126</v>
      </c>
      <c r="BJ162" s="24">
        <v>458</v>
      </c>
      <c r="BK162" s="23">
        <v>125</v>
      </c>
      <c r="BL162" s="24">
        <v>6</v>
      </c>
      <c r="BM162" s="20">
        <v>10</v>
      </c>
      <c r="BN162" s="19">
        <v>14493</v>
      </c>
      <c r="BO162" s="23">
        <v>829</v>
      </c>
      <c r="BP162" s="24">
        <v>3513</v>
      </c>
      <c r="BQ162" s="23">
        <v>396</v>
      </c>
      <c r="BR162" s="24">
        <v>3474</v>
      </c>
      <c r="BS162" s="23">
        <v>393</v>
      </c>
      <c r="BT162" s="26">
        <v>39</v>
      </c>
      <c r="BU162" s="23">
        <v>32</v>
      </c>
      <c r="BV162" s="24">
        <v>8811</v>
      </c>
      <c r="BW162" s="23">
        <v>517</v>
      </c>
      <c r="BX162" s="24">
        <v>8649</v>
      </c>
      <c r="BY162" s="23">
        <v>510</v>
      </c>
      <c r="BZ162" s="24">
        <v>162</v>
      </c>
      <c r="CA162" s="23">
        <v>89</v>
      </c>
      <c r="CB162" s="24">
        <v>2169</v>
      </c>
      <c r="CC162" s="23">
        <v>213</v>
      </c>
      <c r="CD162" s="24">
        <v>2133</v>
      </c>
      <c r="CE162" s="23">
        <v>209</v>
      </c>
      <c r="CF162" s="24">
        <v>36</v>
      </c>
      <c r="CG162" s="20">
        <v>54</v>
      </c>
    </row>
    <row r="163" spans="1:85" x14ac:dyDescent="0.3">
      <c r="A163" t="s">
        <v>325</v>
      </c>
      <c r="B163">
        <v>21013</v>
      </c>
      <c r="C163" t="s">
        <v>326</v>
      </c>
      <c r="D163" s="19">
        <v>4930</v>
      </c>
      <c r="E163" s="20">
        <v>507</v>
      </c>
      <c r="F163" s="19">
        <v>88</v>
      </c>
      <c r="G163" s="23">
        <v>81</v>
      </c>
      <c r="H163" s="24">
        <v>0</v>
      </c>
      <c r="I163" s="23">
        <v>24</v>
      </c>
      <c r="J163" s="24">
        <v>0</v>
      </c>
      <c r="K163" s="23">
        <v>24</v>
      </c>
      <c r="L163" s="24">
        <v>0</v>
      </c>
      <c r="M163" s="23">
        <v>24</v>
      </c>
      <c r="N163" s="24">
        <v>26</v>
      </c>
      <c r="O163" s="23">
        <v>34</v>
      </c>
      <c r="P163" s="24">
        <v>26</v>
      </c>
      <c r="Q163" s="23">
        <v>34</v>
      </c>
      <c r="R163" s="24">
        <v>0</v>
      </c>
      <c r="S163" s="23">
        <v>24</v>
      </c>
      <c r="T163" s="24">
        <v>62</v>
      </c>
      <c r="U163" s="23">
        <v>74</v>
      </c>
      <c r="V163" s="24">
        <v>62</v>
      </c>
      <c r="W163" s="23">
        <v>74</v>
      </c>
      <c r="X163" s="24">
        <v>0</v>
      </c>
      <c r="Y163" s="20">
        <v>24</v>
      </c>
      <c r="Z163" s="19">
        <v>153</v>
      </c>
      <c r="AA163" s="23">
        <v>113</v>
      </c>
      <c r="AB163" s="24">
        <v>18</v>
      </c>
      <c r="AC163" s="23">
        <v>29</v>
      </c>
      <c r="AD163" s="24">
        <v>18</v>
      </c>
      <c r="AE163" s="23">
        <v>29</v>
      </c>
      <c r="AF163" s="24">
        <v>0</v>
      </c>
      <c r="AG163" s="23">
        <v>12</v>
      </c>
      <c r="AH163" s="24">
        <v>97</v>
      </c>
      <c r="AI163" s="23">
        <v>92</v>
      </c>
      <c r="AJ163" s="24">
        <v>97</v>
      </c>
      <c r="AK163" s="23">
        <v>92</v>
      </c>
      <c r="AL163" s="24">
        <v>0</v>
      </c>
      <c r="AM163" s="23">
        <v>12</v>
      </c>
      <c r="AN163" s="24">
        <v>38</v>
      </c>
      <c r="AO163" s="23">
        <v>60</v>
      </c>
      <c r="AP163" s="24">
        <v>38</v>
      </c>
      <c r="AQ163" s="23">
        <v>60</v>
      </c>
      <c r="AR163" s="24">
        <v>0</v>
      </c>
      <c r="AS163" s="20">
        <v>12</v>
      </c>
      <c r="AT163" s="19">
        <v>841</v>
      </c>
      <c r="AU163" s="23">
        <v>347</v>
      </c>
      <c r="AV163" s="24">
        <v>181</v>
      </c>
      <c r="AW163" s="23">
        <v>98</v>
      </c>
      <c r="AX163" s="24">
        <v>181</v>
      </c>
      <c r="AY163" s="23">
        <v>98</v>
      </c>
      <c r="AZ163" s="24">
        <v>0</v>
      </c>
      <c r="BA163" s="23">
        <v>12</v>
      </c>
      <c r="BB163" s="24">
        <v>431</v>
      </c>
      <c r="BC163" s="23">
        <v>289</v>
      </c>
      <c r="BD163" s="24">
        <v>396</v>
      </c>
      <c r="BE163" s="23">
        <v>280</v>
      </c>
      <c r="BF163" s="24">
        <v>35</v>
      </c>
      <c r="BG163" s="23">
        <v>53</v>
      </c>
      <c r="BH163" s="24">
        <v>229</v>
      </c>
      <c r="BI163" s="23">
        <v>88</v>
      </c>
      <c r="BJ163" s="24">
        <v>229</v>
      </c>
      <c r="BK163" s="23">
        <v>88</v>
      </c>
      <c r="BL163" s="24">
        <v>0</v>
      </c>
      <c r="BM163" s="20">
        <v>12</v>
      </c>
      <c r="BN163" s="19">
        <v>3848</v>
      </c>
      <c r="BO163" s="23">
        <v>506</v>
      </c>
      <c r="BP163" s="24">
        <v>723</v>
      </c>
      <c r="BQ163" s="23">
        <v>230</v>
      </c>
      <c r="BR163" s="24">
        <v>723</v>
      </c>
      <c r="BS163" s="23">
        <v>230</v>
      </c>
      <c r="BT163" s="26">
        <v>0</v>
      </c>
      <c r="BU163" s="23">
        <v>12</v>
      </c>
      <c r="BV163" s="24">
        <v>2374</v>
      </c>
      <c r="BW163" s="23">
        <v>362</v>
      </c>
      <c r="BX163" s="24">
        <v>2366</v>
      </c>
      <c r="BY163" s="23">
        <v>360</v>
      </c>
      <c r="BZ163" s="24">
        <v>8</v>
      </c>
      <c r="CA163" s="23">
        <v>14</v>
      </c>
      <c r="CB163" s="24">
        <v>751</v>
      </c>
      <c r="CC163" s="23">
        <v>149</v>
      </c>
      <c r="CD163" s="24">
        <v>751</v>
      </c>
      <c r="CE163" s="23">
        <v>149</v>
      </c>
      <c r="CF163" s="24">
        <v>0</v>
      </c>
      <c r="CG163" s="20">
        <v>12</v>
      </c>
    </row>
    <row r="164" spans="1:85" x14ac:dyDescent="0.3">
      <c r="A164" t="s">
        <v>327</v>
      </c>
      <c r="B164">
        <v>21014</v>
      </c>
      <c r="C164" t="s">
        <v>328</v>
      </c>
      <c r="D164" s="19">
        <v>34894</v>
      </c>
      <c r="E164" s="20">
        <v>709</v>
      </c>
      <c r="F164" s="19">
        <v>2739</v>
      </c>
      <c r="G164" s="23">
        <v>749</v>
      </c>
      <c r="H164" s="24">
        <v>640</v>
      </c>
      <c r="I164" s="23">
        <v>332</v>
      </c>
      <c r="J164" s="24">
        <v>640</v>
      </c>
      <c r="K164" s="23">
        <v>332</v>
      </c>
      <c r="L164" s="24">
        <v>0</v>
      </c>
      <c r="M164" s="23">
        <v>50</v>
      </c>
      <c r="N164" s="24">
        <v>1423</v>
      </c>
      <c r="O164" s="23">
        <v>433</v>
      </c>
      <c r="P164" s="24">
        <v>1207</v>
      </c>
      <c r="Q164" s="23">
        <v>405</v>
      </c>
      <c r="R164" s="24">
        <v>216</v>
      </c>
      <c r="S164" s="23">
        <v>134</v>
      </c>
      <c r="T164" s="24">
        <v>676</v>
      </c>
      <c r="U164" s="23">
        <v>278</v>
      </c>
      <c r="V164" s="24">
        <v>676</v>
      </c>
      <c r="W164" s="23">
        <v>278</v>
      </c>
      <c r="X164" s="24">
        <v>0</v>
      </c>
      <c r="Y164" s="20">
        <v>50</v>
      </c>
      <c r="Z164" s="19">
        <v>1649</v>
      </c>
      <c r="AA164" s="23">
        <v>372</v>
      </c>
      <c r="AB164" s="24">
        <v>237</v>
      </c>
      <c r="AC164" s="23">
        <v>121</v>
      </c>
      <c r="AD164" s="24">
        <v>197</v>
      </c>
      <c r="AE164" s="23">
        <v>109</v>
      </c>
      <c r="AF164" s="24">
        <v>40</v>
      </c>
      <c r="AG164" s="23">
        <v>64</v>
      </c>
      <c r="AH164" s="24">
        <v>899</v>
      </c>
      <c r="AI164" s="23">
        <v>268</v>
      </c>
      <c r="AJ164" s="24">
        <v>765</v>
      </c>
      <c r="AK164" s="23">
        <v>246</v>
      </c>
      <c r="AL164" s="24">
        <v>134</v>
      </c>
      <c r="AM164" s="23">
        <v>95</v>
      </c>
      <c r="AN164" s="24">
        <v>513</v>
      </c>
      <c r="AO164" s="23">
        <v>168</v>
      </c>
      <c r="AP164" s="24">
        <v>513</v>
      </c>
      <c r="AQ164" s="23">
        <v>168</v>
      </c>
      <c r="AR164" s="24">
        <v>0</v>
      </c>
      <c r="AS164" s="20">
        <v>25</v>
      </c>
      <c r="AT164" s="19">
        <v>8811</v>
      </c>
      <c r="AU164" s="23">
        <v>833</v>
      </c>
      <c r="AV164" s="24">
        <v>2609</v>
      </c>
      <c r="AW164" s="23">
        <v>405</v>
      </c>
      <c r="AX164" s="24">
        <v>2590</v>
      </c>
      <c r="AY164" s="23">
        <v>411</v>
      </c>
      <c r="AZ164" s="24">
        <v>19</v>
      </c>
      <c r="BA164" s="23">
        <v>38</v>
      </c>
      <c r="BB164" s="24">
        <v>4462</v>
      </c>
      <c r="BC164" s="23">
        <v>530</v>
      </c>
      <c r="BD164" s="24">
        <v>4214</v>
      </c>
      <c r="BE164" s="23">
        <v>499</v>
      </c>
      <c r="BF164" s="24">
        <v>248</v>
      </c>
      <c r="BG164" s="23">
        <v>134</v>
      </c>
      <c r="BH164" s="24">
        <v>1740</v>
      </c>
      <c r="BI164" s="23">
        <v>244</v>
      </c>
      <c r="BJ164" s="24">
        <v>1740</v>
      </c>
      <c r="BK164" s="23">
        <v>244</v>
      </c>
      <c r="BL164" s="24">
        <v>0</v>
      </c>
      <c r="BM164" s="20">
        <v>25</v>
      </c>
      <c r="BN164" s="19">
        <v>21695</v>
      </c>
      <c r="BO164" s="23">
        <v>824</v>
      </c>
      <c r="BP164" s="24">
        <v>4816</v>
      </c>
      <c r="BQ164" s="23">
        <v>455</v>
      </c>
      <c r="BR164" s="24">
        <v>4644</v>
      </c>
      <c r="BS164" s="23">
        <v>413</v>
      </c>
      <c r="BT164" s="26">
        <v>172</v>
      </c>
      <c r="BU164" s="23">
        <v>212</v>
      </c>
      <c r="BV164" s="24">
        <v>13713</v>
      </c>
      <c r="BW164" s="23">
        <v>553</v>
      </c>
      <c r="BX164" s="24">
        <v>13446</v>
      </c>
      <c r="BY164" s="23">
        <v>551</v>
      </c>
      <c r="BZ164" s="24">
        <v>267</v>
      </c>
      <c r="CA164" s="23">
        <v>117</v>
      </c>
      <c r="CB164" s="24">
        <v>3166</v>
      </c>
      <c r="CC164" s="23">
        <v>277</v>
      </c>
      <c r="CD164" s="24">
        <v>3159</v>
      </c>
      <c r="CE164" s="23">
        <v>278</v>
      </c>
      <c r="CF164" s="24">
        <v>7</v>
      </c>
      <c r="CG164" s="20">
        <v>12</v>
      </c>
    </row>
    <row r="165" spans="1:85" x14ac:dyDescent="0.3">
      <c r="A165" t="s">
        <v>329</v>
      </c>
      <c r="B165">
        <v>21015</v>
      </c>
      <c r="C165" t="s">
        <v>330</v>
      </c>
      <c r="D165" s="19">
        <v>28726</v>
      </c>
      <c r="E165" s="20">
        <v>854</v>
      </c>
      <c r="F165" s="19">
        <v>1605</v>
      </c>
      <c r="G165" s="23">
        <v>614</v>
      </c>
      <c r="H165" s="24">
        <v>575</v>
      </c>
      <c r="I165" s="23">
        <v>339</v>
      </c>
      <c r="J165" s="24">
        <v>541</v>
      </c>
      <c r="K165" s="23">
        <v>333</v>
      </c>
      <c r="L165" s="24">
        <v>34</v>
      </c>
      <c r="M165" s="23">
        <v>64</v>
      </c>
      <c r="N165" s="24">
        <v>737</v>
      </c>
      <c r="O165" s="23">
        <v>313</v>
      </c>
      <c r="P165" s="24">
        <v>608</v>
      </c>
      <c r="Q165" s="23">
        <v>279</v>
      </c>
      <c r="R165" s="24">
        <v>129</v>
      </c>
      <c r="S165" s="23">
        <v>118</v>
      </c>
      <c r="T165" s="24">
        <v>293</v>
      </c>
      <c r="U165" s="23">
        <v>152</v>
      </c>
      <c r="V165" s="24">
        <v>293</v>
      </c>
      <c r="W165" s="23">
        <v>152</v>
      </c>
      <c r="X165" s="24">
        <v>0</v>
      </c>
      <c r="Y165" s="20">
        <v>44</v>
      </c>
      <c r="Z165" s="19">
        <v>1023</v>
      </c>
      <c r="AA165" s="23">
        <v>397</v>
      </c>
      <c r="AB165" s="24">
        <v>334</v>
      </c>
      <c r="AC165" s="23">
        <v>201</v>
      </c>
      <c r="AD165" s="24">
        <v>334</v>
      </c>
      <c r="AE165" s="23">
        <v>201</v>
      </c>
      <c r="AF165" s="24">
        <v>0</v>
      </c>
      <c r="AG165" s="23">
        <v>22</v>
      </c>
      <c r="AH165" s="24">
        <v>412</v>
      </c>
      <c r="AI165" s="23">
        <v>191</v>
      </c>
      <c r="AJ165" s="24">
        <v>412</v>
      </c>
      <c r="AK165" s="23">
        <v>191</v>
      </c>
      <c r="AL165" s="24">
        <v>0</v>
      </c>
      <c r="AM165" s="23">
        <v>22</v>
      </c>
      <c r="AN165" s="24">
        <v>277</v>
      </c>
      <c r="AO165" s="23">
        <v>113</v>
      </c>
      <c r="AP165" s="24">
        <v>277</v>
      </c>
      <c r="AQ165" s="23">
        <v>113</v>
      </c>
      <c r="AR165" s="24">
        <v>0</v>
      </c>
      <c r="AS165" s="20">
        <v>22</v>
      </c>
      <c r="AT165" s="19">
        <v>6802</v>
      </c>
      <c r="AU165" s="23">
        <v>827</v>
      </c>
      <c r="AV165" s="24">
        <v>2002</v>
      </c>
      <c r="AW165" s="23">
        <v>343</v>
      </c>
      <c r="AX165" s="24">
        <v>1880</v>
      </c>
      <c r="AY165" s="23">
        <v>344</v>
      </c>
      <c r="AZ165" s="24">
        <v>122</v>
      </c>
      <c r="BA165" s="23">
        <v>85</v>
      </c>
      <c r="BB165" s="24">
        <v>3804</v>
      </c>
      <c r="BC165" s="23">
        <v>532</v>
      </c>
      <c r="BD165" s="24">
        <v>3443</v>
      </c>
      <c r="BE165" s="23">
        <v>506</v>
      </c>
      <c r="BF165" s="24">
        <v>361</v>
      </c>
      <c r="BG165" s="23">
        <v>204</v>
      </c>
      <c r="BH165" s="24">
        <v>996</v>
      </c>
      <c r="BI165" s="23">
        <v>228</v>
      </c>
      <c r="BJ165" s="24">
        <v>996</v>
      </c>
      <c r="BK165" s="23">
        <v>228</v>
      </c>
      <c r="BL165" s="24">
        <v>0</v>
      </c>
      <c r="BM165" s="20">
        <v>22</v>
      </c>
      <c r="BN165" s="19">
        <v>19296</v>
      </c>
      <c r="BO165" s="23">
        <v>993</v>
      </c>
      <c r="BP165" s="24">
        <v>4853</v>
      </c>
      <c r="BQ165" s="23">
        <v>436</v>
      </c>
      <c r="BR165" s="24">
        <v>4809</v>
      </c>
      <c r="BS165" s="23">
        <v>431</v>
      </c>
      <c r="BT165" s="26">
        <v>44</v>
      </c>
      <c r="BU165" s="23">
        <v>41</v>
      </c>
      <c r="BV165" s="24">
        <v>12048</v>
      </c>
      <c r="BW165" s="23">
        <v>587</v>
      </c>
      <c r="BX165" s="24">
        <v>11896</v>
      </c>
      <c r="BY165" s="23">
        <v>580</v>
      </c>
      <c r="BZ165" s="24">
        <v>152</v>
      </c>
      <c r="CA165" s="23">
        <v>79</v>
      </c>
      <c r="CB165" s="24">
        <v>2395</v>
      </c>
      <c r="CC165" s="23">
        <v>315</v>
      </c>
      <c r="CD165" s="24">
        <v>2395</v>
      </c>
      <c r="CE165" s="23">
        <v>315</v>
      </c>
      <c r="CF165" s="24">
        <v>0</v>
      </c>
      <c r="CG165" s="20">
        <v>22</v>
      </c>
    </row>
    <row r="166" spans="1:85" x14ac:dyDescent="0.3">
      <c r="A166" t="s">
        <v>331</v>
      </c>
      <c r="B166">
        <v>21017</v>
      </c>
      <c r="C166" t="s">
        <v>332</v>
      </c>
      <c r="D166" s="19">
        <v>6522</v>
      </c>
      <c r="E166" s="20">
        <v>803</v>
      </c>
      <c r="F166" s="19">
        <v>774</v>
      </c>
      <c r="G166" s="23">
        <v>435</v>
      </c>
      <c r="H166" s="24">
        <v>237</v>
      </c>
      <c r="I166" s="23">
        <v>252</v>
      </c>
      <c r="J166" s="24">
        <v>237</v>
      </c>
      <c r="K166" s="23">
        <v>252</v>
      </c>
      <c r="L166" s="24">
        <v>0</v>
      </c>
      <c r="M166" s="23">
        <v>34</v>
      </c>
      <c r="N166" s="24">
        <v>458</v>
      </c>
      <c r="O166" s="23">
        <v>239</v>
      </c>
      <c r="P166" s="24">
        <v>422</v>
      </c>
      <c r="Q166" s="23">
        <v>201</v>
      </c>
      <c r="R166" s="24">
        <v>36</v>
      </c>
      <c r="S166" s="23">
        <v>63</v>
      </c>
      <c r="T166" s="24">
        <v>79</v>
      </c>
      <c r="U166" s="23">
        <v>86</v>
      </c>
      <c r="V166" s="24">
        <v>79</v>
      </c>
      <c r="W166" s="23">
        <v>86</v>
      </c>
      <c r="X166" s="24">
        <v>0</v>
      </c>
      <c r="Y166" s="20">
        <v>34</v>
      </c>
      <c r="Z166" s="19">
        <v>393</v>
      </c>
      <c r="AA166" s="23">
        <v>234</v>
      </c>
      <c r="AB166" s="24">
        <v>177</v>
      </c>
      <c r="AC166" s="23">
        <v>159</v>
      </c>
      <c r="AD166" s="24">
        <v>177</v>
      </c>
      <c r="AE166" s="23">
        <v>159</v>
      </c>
      <c r="AF166" s="24">
        <v>0</v>
      </c>
      <c r="AG166" s="23">
        <v>17</v>
      </c>
      <c r="AH166" s="24">
        <v>190</v>
      </c>
      <c r="AI166" s="23">
        <v>115</v>
      </c>
      <c r="AJ166" s="24">
        <v>126</v>
      </c>
      <c r="AK166" s="23">
        <v>71</v>
      </c>
      <c r="AL166" s="24">
        <v>64</v>
      </c>
      <c r="AM166" s="23">
        <v>90</v>
      </c>
      <c r="AN166" s="24">
        <v>26</v>
      </c>
      <c r="AO166" s="23">
        <v>21</v>
      </c>
      <c r="AP166" s="24">
        <v>26</v>
      </c>
      <c r="AQ166" s="23">
        <v>21</v>
      </c>
      <c r="AR166" s="24">
        <v>0</v>
      </c>
      <c r="AS166" s="20">
        <v>17</v>
      </c>
      <c r="AT166" s="19">
        <v>1798</v>
      </c>
      <c r="AU166" s="23">
        <v>596</v>
      </c>
      <c r="AV166" s="24">
        <v>591</v>
      </c>
      <c r="AW166" s="23">
        <v>349</v>
      </c>
      <c r="AX166" s="24">
        <v>517</v>
      </c>
      <c r="AY166" s="23">
        <v>290</v>
      </c>
      <c r="AZ166" s="24">
        <v>74</v>
      </c>
      <c r="BA166" s="23">
        <v>70</v>
      </c>
      <c r="BB166" s="24">
        <v>1029</v>
      </c>
      <c r="BC166" s="23">
        <v>308</v>
      </c>
      <c r="BD166" s="24">
        <v>1002</v>
      </c>
      <c r="BE166" s="23">
        <v>308</v>
      </c>
      <c r="BF166" s="24">
        <v>27</v>
      </c>
      <c r="BG166" s="23">
        <v>24</v>
      </c>
      <c r="BH166" s="24">
        <v>178</v>
      </c>
      <c r="BI166" s="23">
        <v>93</v>
      </c>
      <c r="BJ166" s="24">
        <v>178</v>
      </c>
      <c r="BK166" s="23">
        <v>93</v>
      </c>
      <c r="BL166" s="24">
        <v>0</v>
      </c>
      <c r="BM166" s="20">
        <v>17</v>
      </c>
      <c r="BN166" s="19">
        <v>3557</v>
      </c>
      <c r="BO166" s="23">
        <v>552</v>
      </c>
      <c r="BP166" s="24">
        <v>616</v>
      </c>
      <c r="BQ166" s="23">
        <v>242</v>
      </c>
      <c r="BR166" s="24">
        <v>582</v>
      </c>
      <c r="BS166" s="23">
        <v>224</v>
      </c>
      <c r="BT166" s="26">
        <v>34</v>
      </c>
      <c r="BU166" s="23">
        <v>48</v>
      </c>
      <c r="BV166" s="24">
        <v>2592</v>
      </c>
      <c r="BW166" s="23">
        <v>375</v>
      </c>
      <c r="BX166" s="24">
        <v>2519</v>
      </c>
      <c r="BY166" s="23">
        <v>368</v>
      </c>
      <c r="BZ166" s="24">
        <v>73</v>
      </c>
      <c r="CA166" s="23">
        <v>56</v>
      </c>
      <c r="CB166" s="24">
        <v>349</v>
      </c>
      <c r="CC166" s="23">
        <v>93</v>
      </c>
      <c r="CD166" s="24">
        <v>349</v>
      </c>
      <c r="CE166" s="23">
        <v>93</v>
      </c>
      <c r="CF166" s="24">
        <v>0</v>
      </c>
      <c r="CG166" s="20">
        <v>17</v>
      </c>
    </row>
    <row r="167" spans="1:85" x14ac:dyDescent="0.3">
      <c r="A167" t="s">
        <v>333</v>
      </c>
      <c r="B167">
        <v>21028</v>
      </c>
      <c r="C167" t="s">
        <v>334</v>
      </c>
      <c r="D167" s="19">
        <v>2870</v>
      </c>
      <c r="E167" s="20">
        <v>267</v>
      </c>
      <c r="F167" s="19">
        <v>214</v>
      </c>
      <c r="G167" s="23">
        <v>149</v>
      </c>
      <c r="H167" s="24">
        <v>55</v>
      </c>
      <c r="I167" s="23">
        <v>61</v>
      </c>
      <c r="J167" s="24">
        <v>55</v>
      </c>
      <c r="K167" s="23">
        <v>61</v>
      </c>
      <c r="L167" s="24">
        <v>0</v>
      </c>
      <c r="M167" s="23">
        <v>24</v>
      </c>
      <c r="N167" s="24">
        <v>116</v>
      </c>
      <c r="O167" s="23">
        <v>88</v>
      </c>
      <c r="P167" s="24">
        <v>111</v>
      </c>
      <c r="Q167" s="23">
        <v>88</v>
      </c>
      <c r="R167" s="24">
        <v>5</v>
      </c>
      <c r="S167" s="23">
        <v>19</v>
      </c>
      <c r="T167" s="24">
        <v>43</v>
      </c>
      <c r="U167" s="23">
        <v>52</v>
      </c>
      <c r="V167" s="24">
        <v>43</v>
      </c>
      <c r="W167" s="23">
        <v>52</v>
      </c>
      <c r="X167" s="24">
        <v>0</v>
      </c>
      <c r="Y167" s="20">
        <v>24</v>
      </c>
      <c r="Z167" s="19">
        <v>190</v>
      </c>
      <c r="AA167" s="23">
        <v>132</v>
      </c>
      <c r="AB167" s="24">
        <v>19</v>
      </c>
      <c r="AC167" s="23">
        <v>33</v>
      </c>
      <c r="AD167" s="24">
        <v>19</v>
      </c>
      <c r="AE167" s="23">
        <v>33</v>
      </c>
      <c r="AF167" s="24">
        <v>0</v>
      </c>
      <c r="AG167" s="23">
        <v>12</v>
      </c>
      <c r="AH167" s="24">
        <v>60</v>
      </c>
      <c r="AI167" s="23">
        <v>46</v>
      </c>
      <c r="AJ167" s="24">
        <v>50</v>
      </c>
      <c r="AK167" s="23">
        <v>34</v>
      </c>
      <c r="AL167" s="24">
        <v>10</v>
      </c>
      <c r="AM167" s="23">
        <v>16</v>
      </c>
      <c r="AN167" s="24">
        <v>111</v>
      </c>
      <c r="AO167" s="23">
        <v>116</v>
      </c>
      <c r="AP167" s="24">
        <v>111</v>
      </c>
      <c r="AQ167" s="23">
        <v>116</v>
      </c>
      <c r="AR167" s="24">
        <v>0</v>
      </c>
      <c r="AS167" s="20">
        <v>12</v>
      </c>
      <c r="AT167" s="19">
        <v>445</v>
      </c>
      <c r="AU167" s="23">
        <v>139</v>
      </c>
      <c r="AV167" s="24">
        <v>100</v>
      </c>
      <c r="AW167" s="23">
        <v>59</v>
      </c>
      <c r="AX167" s="24">
        <v>100</v>
      </c>
      <c r="AY167" s="23">
        <v>59</v>
      </c>
      <c r="AZ167" s="24">
        <v>0</v>
      </c>
      <c r="BA167" s="23">
        <v>12</v>
      </c>
      <c r="BB167" s="24">
        <v>216</v>
      </c>
      <c r="BC167" s="23">
        <v>85</v>
      </c>
      <c r="BD167" s="24">
        <v>205</v>
      </c>
      <c r="BE167" s="23">
        <v>81</v>
      </c>
      <c r="BF167" s="24">
        <v>11</v>
      </c>
      <c r="BG167" s="23">
        <v>14</v>
      </c>
      <c r="BH167" s="24">
        <v>129</v>
      </c>
      <c r="BI167" s="23">
        <v>45</v>
      </c>
      <c r="BJ167" s="24">
        <v>129</v>
      </c>
      <c r="BK167" s="23">
        <v>45</v>
      </c>
      <c r="BL167" s="24">
        <v>0</v>
      </c>
      <c r="BM167" s="20">
        <v>12</v>
      </c>
      <c r="BN167" s="19">
        <v>2021</v>
      </c>
      <c r="BO167" s="23">
        <v>238</v>
      </c>
      <c r="BP167" s="24">
        <v>390</v>
      </c>
      <c r="BQ167" s="23">
        <v>100</v>
      </c>
      <c r="BR167" s="24">
        <v>390</v>
      </c>
      <c r="BS167" s="23">
        <v>100</v>
      </c>
      <c r="BT167" s="26">
        <v>0</v>
      </c>
      <c r="BU167" s="23">
        <v>12</v>
      </c>
      <c r="BV167" s="24">
        <v>1266</v>
      </c>
      <c r="BW167" s="23">
        <v>181</v>
      </c>
      <c r="BX167" s="24">
        <v>1236</v>
      </c>
      <c r="BY167" s="23">
        <v>179</v>
      </c>
      <c r="BZ167" s="24">
        <v>30</v>
      </c>
      <c r="CA167" s="23">
        <v>26</v>
      </c>
      <c r="CB167" s="24">
        <v>365</v>
      </c>
      <c r="CC167" s="23">
        <v>66</v>
      </c>
      <c r="CD167" s="24">
        <v>358</v>
      </c>
      <c r="CE167" s="23">
        <v>65</v>
      </c>
      <c r="CF167" s="24">
        <v>7</v>
      </c>
      <c r="CG167" s="20">
        <v>10</v>
      </c>
    </row>
    <row r="168" spans="1:85" x14ac:dyDescent="0.3">
      <c r="A168" t="s">
        <v>335</v>
      </c>
      <c r="B168">
        <v>21029</v>
      </c>
      <c r="C168" t="s">
        <v>336</v>
      </c>
      <c r="D168" s="19">
        <v>11031</v>
      </c>
      <c r="E168" s="20">
        <v>769</v>
      </c>
      <c r="F168" s="19">
        <v>210</v>
      </c>
      <c r="G168" s="23">
        <v>167</v>
      </c>
      <c r="H168" s="24">
        <v>47</v>
      </c>
      <c r="I168" s="23">
        <v>70</v>
      </c>
      <c r="J168" s="24">
        <v>47</v>
      </c>
      <c r="K168" s="23">
        <v>70</v>
      </c>
      <c r="L168" s="24">
        <v>0</v>
      </c>
      <c r="M168" s="23">
        <v>38</v>
      </c>
      <c r="N168" s="24">
        <v>154</v>
      </c>
      <c r="O168" s="23">
        <v>110</v>
      </c>
      <c r="P168" s="24">
        <v>148</v>
      </c>
      <c r="Q168" s="23">
        <v>110</v>
      </c>
      <c r="R168" s="24">
        <v>6</v>
      </c>
      <c r="S168" s="23">
        <v>27</v>
      </c>
      <c r="T168" s="24">
        <v>9</v>
      </c>
      <c r="U168" s="23">
        <v>33</v>
      </c>
      <c r="V168" s="24">
        <v>9</v>
      </c>
      <c r="W168" s="23">
        <v>33</v>
      </c>
      <c r="X168" s="24">
        <v>0</v>
      </c>
      <c r="Y168" s="20">
        <v>38</v>
      </c>
      <c r="Z168" s="19">
        <v>104</v>
      </c>
      <c r="AA168" s="23">
        <v>67</v>
      </c>
      <c r="AB168" s="24">
        <v>26</v>
      </c>
      <c r="AC168" s="23">
        <v>31</v>
      </c>
      <c r="AD168" s="24">
        <v>26</v>
      </c>
      <c r="AE168" s="23">
        <v>31</v>
      </c>
      <c r="AF168" s="24">
        <v>0</v>
      </c>
      <c r="AG168" s="23">
        <v>19</v>
      </c>
      <c r="AH168" s="24">
        <v>52</v>
      </c>
      <c r="AI168" s="23">
        <v>39</v>
      </c>
      <c r="AJ168" s="24">
        <v>34</v>
      </c>
      <c r="AK168" s="23">
        <v>29</v>
      </c>
      <c r="AL168" s="24">
        <v>18</v>
      </c>
      <c r="AM168" s="23">
        <v>26</v>
      </c>
      <c r="AN168" s="24">
        <v>26</v>
      </c>
      <c r="AO168" s="23">
        <v>24</v>
      </c>
      <c r="AP168" s="24">
        <v>26</v>
      </c>
      <c r="AQ168" s="23">
        <v>24</v>
      </c>
      <c r="AR168" s="24">
        <v>0</v>
      </c>
      <c r="AS168" s="20">
        <v>19</v>
      </c>
      <c r="AT168" s="19">
        <v>1101</v>
      </c>
      <c r="AU168" s="23">
        <v>396</v>
      </c>
      <c r="AV168" s="24">
        <v>206</v>
      </c>
      <c r="AW168" s="23">
        <v>155</v>
      </c>
      <c r="AX168" s="24">
        <v>193</v>
      </c>
      <c r="AY168" s="23">
        <v>153</v>
      </c>
      <c r="AZ168" s="24">
        <v>13</v>
      </c>
      <c r="BA168" s="23">
        <v>20</v>
      </c>
      <c r="BB168" s="24">
        <v>620</v>
      </c>
      <c r="BC168" s="23">
        <v>265</v>
      </c>
      <c r="BD168" s="24">
        <v>500</v>
      </c>
      <c r="BE168" s="23">
        <v>233</v>
      </c>
      <c r="BF168" s="24">
        <v>120</v>
      </c>
      <c r="BG168" s="23">
        <v>99</v>
      </c>
      <c r="BH168" s="24">
        <v>275</v>
      </c>
      <c r="BI168" s="23">
        <v>89</v>
      </c>
      <c r="BJ168" s="24">
        <v>259</v>
      </c>
      <c r="BK168" s="23">
        <v>84</v>
      </c>
      <c r="BL168" s="24">
        <v>16</v>
      </c>
      <c r="BM168" s="20">
        <v>19</v>
      </c>
      <c r="BN168" s="19">
        <v>9616</v>
      </c>
      <c r="BO168" s="23">
        <v>804</v>
      </c>
      <c r="BP168" s="24">
        <v>2857</v>
      </c>
      <c r="BQ168" s="23">
        <v>362</v>
      </c>
      <c r="BR168" s="24">
        <v>2808</v>
      </c>
      <c r="BS168" s="23">
        <v>361</v>
      </c>
      <c r="BT168" s="26">
        <v>49</v>
      </c>
      <c r="BU168" s="23">
        <v>70</v>
      </c>
      <c r="BV168" s="24">
        <v>5750</v>
      </c>
      <c r="BW168" s="23">
        <v>523</v>
      </c>
      <c r="BX168" s="24">
        <v>5687</v>
      </c>
      <c r="BY168" s="23">
        <v>511</v>
      </c>
      <c r="BZ168" s="24">
        <v>63</v>
      </c>
      <c r="CA168" s="23">
        <v>73</v>
      </c>
      <c r="CB168" s="24">
        <v>1009</v>
      </c>
      <c r="CC168" s="23">
        <v>176</v>
      </c>
      <c r="CD168" s="24">
        <v>980</v>
      </c>
      <c r="CE168" s="23">
        <v>168</v>
      </c>
      <c r="CF168" s="24">
        <v>29</v>
      </c>
      <c r="CG168" s="20">
        <v>26</v>
      </c>
    </row>
    <row r="169" spans="1:85" x14ac:dyDescent="0.3">
      <c r="A169" t="s">
        <v>337</v>
      </c>
      <c r="B169">
        <v>21030</v>
      </c>
      <c r="C169" t="s">
        <v>338</v>
      </c>
      <c r="D169" s="19">
        <v>24326</v>
      </c>
      <c r="E169" s="20">
        <v>1044</v>
      </c>
      <c r="F169" s="19">
        <v>3230</v>
      </c>
      <c r="G169" s="23">
        <v>1312</v>
      </c>
      <c r="H169" s="24">
        <v>991</v>
      </c>
      <c r="I169" s="23">
        <v>745</v>
      </c>
      <c r="J169" s="24">
        <v>917</v>
      </c>
      <c r="K169" s="23">
        <v>698</v>
      </c>
      <c r="L169" s="24">
        <v>74</v>
      </c>
      <c r="M169" s="23">
        <v>111</v>
      </c>
      <c r="N169" s="24">
        <v>1918</v>
      </c>
      <c r="O169" s="23">
        <v>718</v>
      </c>
      <c r="P169" s="24">
        <v>1206</v>
      </c>
      <c r="Q169" s="23">
        <v>460</v>
      </c>
      <c r="R169" s="24">
        <v>712</v>
      </c>
      <c r="S169" s="23">
        <v>513</v>
      </c>
      <c r="T169" s="24">
        <v>321</v>
      </c>
      <c r="U169" s="23">
        <v>166</v>
      </c>
      <c r="V169" s="24">
        <v>321</v>
      </c>
      <c r="W169" s="23">
        <v>166</v>
      </c>
      <c r="X169" s="24">
        <v>0</v>
      </c>
      <c r="Y169" s="20">
        <v>44</v>
      </c>
      <c r="Z169" s="19">
        <v>2676</v>
      </c>
      <c r="AA169" s="23">
        <v>728</v>
      </c>
      <c r="AB169" s="24">
        <v>722</v>
      </c>
      <c r="AC169" s="23">
        <v>351</v>
      </c>
      <c r="AD169" s="24">
        <v>722</v>
      </c>
      <c r="AE169" s="23">
        <v>351</v>
      </c>
      <c r="AF169" s="24">
        <v>0</v>
      </c>
      <c r="AG169" s="23">
        <v>22</v>
      </c>
      <c r="AH169" s="24">
        <v>1623</v>
      </c>
      <c r="AI169" s="23">
        <v>457</v>
      </c>
      <c r="AJ169" s="24">
        <v>1239</v>
      </c>
      <c r="AK169" s="23">
        <v>400</v>
      </c>
      <c r="AL169" s="24">
        <v>384</v>
      </c>
      <c r="AM169" s="23">
        <v>196</v>
      </c>
      <c r="AN169" s="24">
        <v>331</v>
      </c>
      <c r="AO169" s="23">
        <v>101</v>
      </c>
      <c r="AP169" s="24">
        <v>307</v>
      </c>
      <c r="AQ169" s="23">
        <v>93</v>
      </c>
      <c r="AR169" s="24">
        <v>24</v>
      </c>
      <c r="AS169" s="20">
        <v>41</v>
      </c>
      <c r="AT169" s="19">
        <v>6279</v>
      </c>
      <c r="AU169" s="23">
        <v>938</v>
      </c>
      <c r="AV169" s="24">
        <v>1242</v>
      </c>
      <c r="AW169" s="23">
        <v>307</v>
      </c>
      <c r="AX169" s="24">
        <v>1151</v>
      </c>
      <c r="AY169" s="23">
        <v>290</v>
      </c>
      <c r="AZ169" s="24">
        <v>91</v>
      </c>
      <c r="BA169" s="23">
        <v>75</v>
      </c>
      <c r="BB169" s="24">
        <v>4120</v>
      </c>
      <c r="BC169" s="23">
        <v>689</v>
      </c>
      <c r="BD169" s="24">
        <v>3509</v>
      </c>
      <c r="BE169" s="23">
        <v>575</v>
      </c>
      <c r="BF169" s="24">
        <v>611</v>
      </c>
      <c r="BG169" s="23">
        <v>271</v>
      </c>
      <c r="BH169" s="24">
        <v>917</v>
      </c>
      <c r="BI169" s="23">
        <v>212</v>
      </c>
      <c r="BJ169" s="24">
        <v>917</v>
      </c>
      <c r="BK169" s="23">
        <v>212</v>
      </c>
      <c r="BL169" s="24">
        <v>0</v>
      </c>
      <c r="BM169" s="20">
        <v>22</v>
      </c>
      <c r="BN169" s="19">
        <v>12141</v>
      </c>
      <c r="BO169" s="23">
        <v>989</v>
      </c>
      <c r="BP169" s="24">
        <v>2407</v>
      </c>
      <c r="BQ169" s="23">
        <v>387</v>
      </c>
      <c r="BR169" s="24">
        <v>2358</v>
      </c>
      <c r="BS169" s="23">
        <v>389</v>
      </c>
      <c r="BT169" s="26">
        <v>49</v>
      </c>
      <c r="BU169" s="23">
        <v>61</v>
      </c>
      <c r="BV169" s="24">
        <v>7709</v>
      </c>
      <c r="BW169" s="23">
        <v>669</v>
      </c>
      <c r="BX169" s="24">
        <v>7312</v>
      </c>
      <c r="BY169" s="23">
        <v>652</v>
      </c>
      <c r="BZ169" s="24">
        <v>397</v>
      </c>
      <c r="CA169" s="23">
        <v>150</v>
      </c>
      <c r="CB169" s="24">
        <v>2025</v>
      </c>
      <c r="CC169" s="23">
        <v>314</v>
      </c>
      <c r="CD169" s="24">
        <v>1960</v>
      </c>
      <c r="CE169" s="23">
        <v>309</v>
      </c>
      <c r="CF169" s="24">
        <v>65</v>
      </c>
      <c r="CG169" s="20">
        <v>59</v>
      </c>
    </row>
    <row r="170" spans="1:85" x14ac:dyDescent="0.3">
      <c r="A170" t="s">
        <v>339</v>
      </c>
      <c r="B170">
        <v>21031</v>
      </c>
      <c r="C170" t="s">
        <v>340</v>
      </c>
      <c r="D170" s="19">
        <v>0</v>
      </c>
      <c r="E170" s="20">
        <v>12</v>
      </c>
      <c r="F170" s="19">
        <v>0</v>
      </c>
      <c r="G170" s="23">
        <v>24</v>
      </c>
      <c r="H170" s="24">
        <v>0</v>
      </c>
      <c r="I170" s="23">
        <v>24</v>
      </c>
      <c r="J170" s="24">
        <v>0</v>
      </c>
      <c r="K170" s="23">
        <v>24</v>
      </c>
      <c r="L170" s="24">
        <v>0</v>
      </c>
      <c r="M170" s="23">
        <v>24</v>
      </c>
      <c r="N170" s="24">
        <v>0</v>
      </c>
      <c r="O170" s="23">
        <v>24</v>
      </c>
      <c r="P170" s="24">
        <v>0</v>
      </c>
      <c r="Q170" s="23">
        <v>24</v>
      </c>
      <c r="R170" s="24">
        <v>0</v>
      </c>
      <c r="S170" s="23">
        <v>24</v>
      </c>
      <c r="T170" s="24">
        <v>0</v>
      </c>
      <c r="U170" s="23">
        <v>24</v>
      </c>
      <c r="V170" s="24">
        <v>0</v>
      </c>
      <c r="W170" s="23">
        <v>24</v>
      </c>
      <c r="X170" s="24">
        <v>0</v>
      </c>
      <c r="Y170" s="20">
        <v>24</v>
      </c>
      <c r="Z170" s="19">
        <v>0</v>
      </c>
      <c r="AA170" s="23">
        <v>12</v>
      </c>
      <c r="AB170" s="24">
        <v>0</v>
      </c>
      <c r="AC170" s="23">
        <v>12</v>
      </c>
      <c r="AD170" s="24">
        <v>0</v>
      </c>
      <c r="AE170" s="23">
        <v>12</v>
      </c>
      <c r="AF170" s="24">
        <v>0</v>
      </c>
      <c r="AG170" s="23">
        <v>12</v>
      </c>
      <c r="AH170" s="24">
        <v>0</v>
      </c>
      <c r="AI170" s="23">
        <v>12</v>
      </c>
      <c r="AJ170" s="24">
        <v>0</v>
      </c>
      <c r="AK170" s="23">
        <v>12</v>
      </c>
      <c r="AL170" s="24">
        <v>0</v>
      </c>
      <c r="AM170" s="23">
        <v>12</v>
      </c>
      <c r="AN170" s="24">
        <v>0</v>
      </c>
      <c r="AO170" s="23">
        <v>12</v>
      </c>
      <c r="AP170" s="24">
        <v>0</v>
      </c>
      <c r="AQ170" s="23">
        <v>12</v>
      </c>
      <c r="AR170" s="24">
        <v>0</v>
      </c>
      <c r="AS170" s="20">
        <v>12</v>
      </c>
      <c r="AT170" s="19">
        <v>0</v>
      </c>
      <c r="AU170" s="23">
        <v>12</v>
      </c>
      <c r="AV170" s="24">
        <v>0</v>
      </c>
      <c r="AW170" s="23">
        <v>12</v>
      </c>
      <c r="AX170" s="24">
        <v>0</v>
      </c>
      <c r="AY170" s="23">
        <v>12</v>
      </c>
      <c r="AZ170" s="24">
        <v>0</v>
      </c>
      <c r="BA170" s="23">
        <v>12</v>
      </c>
      <c r="BB170" s="24">
        <v>0</v>
      </c>
      <c r="BC170" s="23">
        <v>12</v>
      </c>
      <c r="BD170" s="24">
        <v>0</v>
      </c>
      <c r="BE170" s="23">
        <v>12</v>
      </c>
      <c r="BF170" s="24">
        <v>0</v>
      </c>
      <c r="BG170" s="23">
        <v>12</v>
      </c>
      <c r="BH170" s="24">
        <v>0</v>
      </c>
      <c r="BI170" s="23">
        <v>12</v>
      </c>
      <c r="BJ170" s="24">
        <v>0</v>
      </c>
      <c r="BK170" s="23">
        <v>12</v>
      </c>
      <c r="BL170" s="24">
        <v>0</v>
      </c>
      <c r="BM170" s="20">
        <v>12</v>
      </c>
      <c r="BN170" s="19">
        <v>0</v>
      </c>
      <c r="BO170" s="23">
        <v>12</v>
      </c>
      <c r="BP170" s="24">
        <v>0</v>
      </c>
      <c r="BQ170" s="23">
        <v>12</v>
      </c>
      <c r="BR170" s="24">
        <v>0</v>
      </c>
      <c r="BS170" s="23">
        <v>12</v>
      </c>
      <c r="BT170" s="26">
        <v>0</v>
      </c>
      <c r="BU170" s="23">
        <v>12</v>
      </c>
      <c r="BV170" s="24">
        <v>0</v>
      </c>
      <c r="BW170" s="23">
        <v>12</v>
      </c>
      <c r="BX170" s="24">
        <v>0</v>
      </c>
      <c r="BY170" s="23">
        <v>12</v>
      </c>
      <c r="BZ170" s="24">
        <v>0</v>
      </c>
      <c r="CA170" s="23">
        <v>12</v>
      </c>
      <c r="CB170" s="24">
        <v>0</v>
      </c>
      <c r="CC170" s="23">
        <v>12</v>
      </c>
      <c r="CD170" s="24">
        <v>0</v>
      </c>
      <c r="CE170" s="23">
        <v>12</v>
      </c>
      <c r="CF170" s="24">
        <v>0</v>
      </c>
      <c r="CG170" s="20">
        <v>12</v>
      </c>
    </row>
    <row r="171" spans="1:85" x14ac:dyDescent="0.3">
      <c r="A171" t="s">
        <v>341</v>
      </c>
      <c r="B171">
        <v>21032</v>
      </c>
      <c r="C171" t="s">
        <v>342</v>
      </c>
      <c r="D171" s="19">
        <v>8597</v>
      </c>
      <c r="E171" s="20">
        <v>582</v>
      </c>
      <c r="F171" s="19">
        <v>741</v>
      </c>
      <c r="G171" s="23">
        <v>395</v>
      </c>
      <c r="H171" s="24">
        <v>234</v>
      </c>
      <c r="I171" s="23">
        <v>200</v>
      </c>
      <c r="J171" s="24">
        <v>234</v>
      </c>
      <c r="K171" s="23">
        <v>200</v>
      </c>
      <c r="L171" s="24">
        <v>0</v>
      </c>
      <c r="M171" s="23">
        <v>34</v>
      </c>
      <c r="N171" s="24">
        <v>472</v>
      </c>
      <c r="O171" s="23">
        <v>242</v>
      </c>
      <c r="P171" s="24">
        <v>358</v>
      </c>
      <c r="Q171" s="23">
        <v>223</v>
      </c>
      <c r="R171" s="24">
        <v>114</v>
      </c>
      <c r="S171" s="23">
        <v>116</v>
      </c>
      <c r="T171" s="24">
        <v>35</v>
      </c>
      <c r="U171" s="23">
        <v>52</v>
      </c>
      <c r="V171" s="24">
        <v>35</v>
      </c>
      <c r="W171" s="23">
        <v>52</v>
      </c>
      <c r="X171" s="24">
        <v>0</v>
      </c>
      <c r="Y171" s="20">
        <v>34</v>
      </c>
      <c r="Z171" s="19">
        <v>521</v>
      </c>
      <c r="AA171" s="23">
        <v>418</v>
      </c>
      <c r="AB171" s="24">
        <v>190</v>
      </c>
      <c r="AC171" s="23">
        <v>240</v>
      </c>
      <c r="AD171" s="24">
        <v>190</v>
      </c>
      <c r="AE171" s="23">
        <v>240</v>
      </c>
      <c r="AF171" s="24">
        <v>0</v>
      </c>
      <c r="AG171" s="23">
        <v>17</v>
      </c>
      <c r="AH171" s="24">
        <v>259</v>
      </c>
      <c r="AI171" s="23">
        <v>180</v>
      </c>
      <c r="AJ171" s="24">
        <v>233</v>
      </c>
      <c r="AK171" s="23">
        <v>178</v>
      </c>
      <c r="AL171" s="24">
        <v>26</v>
      </c>
      <c r="AM171" s="23">
        <v>32</v>
      </c>
      <c r="AN171" s="24">
        <v>72</v>
      </c>
      <c r="AO171" s="23">
        <v>52</v>
      </c>
      <c r="AP171" s="24">
        <v>72</v>
      </c>
      <c r="AQ171" s="23">
        <v>52</v>
      </c>
      <c r="AR171" s="24">
        <v>0</v>
      </c>
      <c r="AS171" s="20">
        <v>17</v>
      </c>
      <c r="AT171" s="19">
        <v>1246</v>
      </c>
      <c r="AU171" s="23">
        <v>370</v>
      </c>
      <c r="AV171" s="24">
        <v>259</v>
      </c>
      <c r="AW171" s="23">
        <v>189</v>
      </c>
      <c r="AX171" s="24">
        <v>259</v>
      </c>
      <c r="AY171" s="23">
        <v>189</v>
      </c>
      <c r="AZ171" s="24">
        <v>0</v>
      </c>
      <c r="BA171" s="23">
        <v>17</v>
      </c>
      <c r="BB171" s="24">
        <v>636</v>
      </c>
      <c r="BC171" s="23">
        <v>197</v>
      </c>
      <c r="BD171" s="24">
        <v>578</v>
      </c>
      <c r="BE171" s="23">
        <v>190</v>
      </c>
      <c r="BF171" s="24">
        <v>58</v>
      </c>
      <c r="BG171" s="23">
        <v>61</v>
      </c>
      <c r="BH171" s="24">
        <v>351</v>
      </c>
      <c r="BI171" s="23">
        <v>144</v>
      </c>
      <c r="BJ171" s="24">
        <v>351</v>
      </c>
      <c r="BK171" s="23">
        <v>144</v>
      </c>
      <c r="BL171" s="24">
        <v>0</v>
      </c>
      <c r="BM171" s="20">
        <v>17</v>
      </c>
      <c r="BN171" s="19">
        <v>6089</v>
      </c>
      <c r="BO171" s="23">
        <v>614</v>
      </c>
      <c r="BP171" s="24">
        <v>1295</v>
      </c>
      <c r="BQ171" s="23">
        <v>251</v>
      </c>
      <c r="BR171" s="24">
        <v>1283</v>
      </c>
      <c r="BS171" s="23">
        <v>251</v>
      </c>
      <c r="BT171" s="26">
        <v>12</v>
      </c>
      <c r="BU171" s="23">
        <v>19</v>
      </c>
      <c r="BV171" s="24">
        <v>3951</v>
      </c>
      <c r="BW171" s="23">
        <v>425</v>
      </c>
      <c r="BX171" s="24">
        <v>3853</v>
      </c>
      <c r="BY171" s="23">
        <v>423</v>
      </c>
      <c r="BZ171" s="24">
        <v>98</v>
      </c>
      <c r="CA171" s="23">
        <v>79</v>
      </c>
      <c r="CB171" s="24">
        <v>843</v>
      </c>
      <c r="CC171" s="23">
        <v>190</v>
      </c>
      <c r="CD171" s="24">
        <v>843</v>
      </c>
      <c r="CE171" s="23">
        <v>190</v>
      </c>
      <c r="CF171" s="24">
        <v>0</v>
      </c>
      <c r="CG171" s="20">
        <v>17</v>
      </c>
    </row>
    <row r="172" spans="1:85" x14ac:dyDescent="0.3">
      <c r="A172" t="s">
        <v>343</v>
      </c>
      <c r="B172">
        <v>21034</v>
      </c>
      <c r="C172" t="s">
        <v>344</v>
      </c>
      <c r="D172" s="19">
        <v>3392</v>
      </c>
      <c r="E172" s="20">
        <v>380</v>
      </c>
      <c r="F172" s="19">
        <v>562</v>
      </c>
      <c r="G172" s="23">
        <v>357</v>
      </c>
      <c r="H172" s="24">
        <v>204</v>
      </c>
      <c r="I172" s="23">
        <v>200</v>
      </c>
      <c r="J172" s="24">
        <v>204</v>
      </c>
      <c r="K172" s="23">
        <v>200</v>
      </c>
      <c r="L172" s="24">
        <v>0</v>
      </c>
      <c r="M172" s="23">
        <v>24</v>
      </c>
      <c r="N172" s="24">
        <v>273</v>
      </c>
      <c r="O172" s="23">
        <v>157</v>
      </c>
      <c r="P172" s="24">
        <v>209</v>
      </c>
      <c r="Q172" s="23">
        <v>149</v>
      </c>
      <c r="R172" s="24">
        <v>64</v>
      </c>
      <c r="S172" s="23">
        <v>62</v>
      </c>
      <c r="T172" s="24">
        <v>85</v>
      </c>
      <c r="U172" s="23">
        <v>68</v>
      </c>
      <c r="V172" s="24">
        <v>85</v>
      </c>
      <c r="W172" s="23">
        <v>68</v>
      </c>
      <c r="X172" s="24">
        <v>0</v>
      </c>
      <c r="Y172" s="20">
        <v>24</v>
      </c>
      <c r="Z172" s="19">
        <v>216</v>
      </c>
      <c r="AA172" s="23">
        <v>92</v>
      </c>
      <c r="AB172" s="24">
        <v>37</v>
      </c>
      <c r="AC172" s="23">
        <v>26</v>
      </c>
      <c r="AD172" s="24">
        <v>37</v>
      </c>
      <c r="AE172" s="23">
        <v>26</v>
      </c>
      <c r="AF172" s="24">
        <v>0</v>
      </c>
      <c r="AG172" s="23">
        <v>12</v>
      </c>
      <c r="AH172" s="24">
        <v>122</v>
      </c>
      <c r="AI172" s="23">
        <v>65</v>
      </c>
      <c r="AJ172" s="24">
        <v>122</v>
      </c>
      <c r="AK172" s="23">
        <v>65</v>
      </c>
      <c r="AL172" s="24">
        <v>0</v>
      </c>
      <c r="AM172" s="23">
        <v>12</v>
      </c>
      <c r="AN172" s="24">
        <v>57</v>
      </c>
      <c r="AO172" s="23">
        <v>44</v>
      </c>
      <c r="AP172" s="24">
        <v>57</v>
      </c>
      <c r="AQ172" s="23">
        <v>44</v>
      </c>
      <c r="AR172" s="24">
        <v>0</v>
      </c>
      <c r="AS172" s="20">
        <v>12</v>
      </c>
      <c r="AT172" s="19">
        <v>839</v>
      </c>
      <c r="AU172" s="23">
        <v>246</v>
      </c>
      <c r="AV172" s="24">
        <v>82</v>
      </c>
      <c r="AW172" s="23">
        <v>51</v>
      </c>
      <c r="AX172" s="24">
        <v>82</v>
      </c>
      <c r="AY172" s="23">
        <v>51</v>
      </c>
      <c r="AZ172" s="24">
        <v>0</v>
      </c>
      <c r="BA172" s="23">
        <v>12</v>
      </c>
      <c r="BB172" s="24">
        <v>542</v>
      </c>
      <c r="BC172" s="23">
        <v>205</v>
      </c>
      <c r="BD172" s="24">
        <v>482</v>
      </c>
      <c r="BE172" s="23">
        <v>184</v>
      </c>
      <c r="BF172" s="24">
        <v>60</v>
      </c>
      <c r="BG172" s="23">
        <v>56</v>
      </c>
      <c r="BH172" s="24">
        <v>215</v>
      </c>
      <c r="BI172" s="23">
        <v>77</v>
      </c>
      <c r="BJ172" s="24">
        <v>215</v>
      </c>
      <c r="BK172" s="23">
        <v>77</v>
      </c>
      <c r="BL172" s="24">
        <v>0</v>
      </c>
      <c r="BM172" s="20">
        <v>12</v>
      </c>
      <c r="BN172" s="19">
        <v>1775</v>
      </c>
      <c r="BO172" s="23">
        <v>262</v>
      </c>
      <c r="BP172" s="24">
        <v>269</v>
      </c>
      <c r="BQ172" s="23">
        <v>127</v>
      </c>
      <c r="BR172" s="24">
        <v>269</v>
      </c>
      <c r="BS172" s="23">
        <v>127</v>
      </c>
      <c r="BT172" s="26">
        <v>0</v>
      </c>
      <c r="BU172" s="23">
        <v>12</v>
      </c>
      <c r="BV172" s="24">
        <v>1117</v>
      </c>
      <c r="BW172" s="23">
        <v>179</v>
      </c>
      <c r="BX172" s="24">
        <v>1030</v>
      </c>
      <c r="BY172" s="23">
        <v>165</v>
      </c>
      <c r="BZ172" s="24">
        <v>87</v>
      </c>
      <c r="CA172" s="23">
        <v>59</v>
      </c>
      <c r="CB172" s="24">
        <v>389</v>
      </c>
      <c r="CC172" s="23">
        <v>113</v>
      </c>
      <c r="CD172" s="24">
        <v>389</v>
      </c>
      <c r="CE172" s="23">
        <v>113</v>
      </c>
      <c r="CF172" s="24">
        <v>0</v>
      </c>
      <c r="CG172" s="20">
        <v>12</v>
      </c>
    </row>
    <row r="173" spans="1:85" x14ac:dyDescent="0.3">
      <c r="A173" t="s">
        <v>345</v>
      </c>
      <c r="B173">
        <v>21035</v>
      </c>
      <c r="C173" t="s">
        <v>346</v>
      </c>
      <c r="D173" s="19">
        <v>7922</v>
      </c>
      <c r="E173" s="20">
        <v>583</v>
      </c>
      <c r="F173" s="19">
        <v>129</v>
      </c>
      <c r="G173" s="23">
        <v>93</v>
      </c>
      <c r="H173" s="24">
        <v>19</v>
      </c>
      <c r="I173" s="23">
        <v>46</v>
      </c>
      <c r="J173" s="24">
        <v>19</v>
      </c>
      <c r="K173" s="23">
        <v>46</v>
      </c>
      <c r="L173" s="24">
        <v>0</v>
      </c>
      <c r="M173" s="23">
        <v>34</v>
      </c>
      <c r="N173" s="24">
        <v>64</v>
      </c>
      <c r="O173" s="23">
        <v>59</v>
      </c>
      <c r="P173" s="24">
        <v>47</v>
      </c>
      <c r="Q173" s="23">
        <v>49</v>
      </c>
      <c r="R173" s="24">
        <v>17</v>
      </c>
      <c r="S173" s="23">
        <v>45</v>
      </c>
      <c r="T173" s="24">
        <v>46</v>
      </c>
      <c r="U173" s="23">
        <v>59</v>
      </c>
      <c r="V173" s="24">
        <v>46</v>
      </c>
      <c r="W173" s="23">
        <v>59</v>
      </c>
      <c r="X173" s="24">
        <v>0</v>
      </c>
      <c r="Y173" s="20">
        <v>34</v>
      </c>
      <c r="Z173" s="19">
        <v>105</v>
      </c>
      <c r="AA173" s="23">
        <v>90</v>
      </c>
      <c r="AB173" s="24">
        <v>8</v>
      </c>
      <c r="AC173" s="23">
        <v>12</v>
      </c>
      <c r="AD173" s="24">
        <v>8</v>
      </c>
      <c r="AE173" s="23">
        <v>12</v>
      </c>
      <c r="AF173" s="24">
        <v>0</v>
      </c>
      <c r="AG173" s="23">
        <v>17</v>
      </c>
      <c r="AH173" s="24">
        <v>38</v>
      </c>
      <c r="AI173" s="23">
        <v>54</v>
      </c>
      <c r="AJ173" s="24">
        <v>28</v>
      </c>
      <c r="AK173" s="23">
        <v>40</v>
      </c>
      <c r="AL173" s="24">
        <v>10</v>
      </c>
      <c r="AM173" s="23">
        <v>15</v>
      </c>
      <c r="AN173" s="24">
        <v>59</v>
      </c>
      <c r="AO173" s="23">
        <v>60</v>
      </c>
      <c r="AP173" s="24">
        <v>59</v>
      </c>
      <c r="AQ173" s="23">
        <v>60</v>
      </c>
      <c r="AR173" s="24">
        <v>0</v>
      </c>
      <c r="AS173" s="20">
        <v>17</v>
      </c>
      <c r="AT173" s="19">
        <v>1437</v>
      </c>
      <c r="AU173" s="23">
        <v>446</v>
      </c>
      <c r="AV173" s="24">
        <v>397</v>
      </c>
      <c r="AW173" s="23">
        <v>219</v>
      </c>
      <c r="AX173" s="24">
        <v>397</v>
      </c>
      <c r="AY173" s="23">
        <v>219</v>
      </c>
      <c r="AZ173" s="24">
        <v>0</v>
      </c>
      <c r="BA173" s="23">
        <v>17</v>
      </c>
      <c r="BB173" s="24">
        <v>701</v>
      </c>
      <c r="BC173" s="23">
        <v>245</v>
      </c>
      <c r="BD173" s="24">
        <v>686</v>
      </c>
      <c r="BE173" s="23">
        <v>242</v>
      </c>
      <c r="BF173" s="24">
        <v>15</v>
      </c>
      <c r="BG173" s="23">
        <v>23</v>
      </c>
      <c r="BH173" s="24">
        <v>339</v>
      </c>
      <c r="BI173" s="23">
        <v>126</v>
      </c>
      <c r="BJ173" s="24">
        <v>339</v>
      </c>
      <c r="BK173" s="23">
        <v>126</v>
      </c>
      <c r="BL173" s="24">
        <v>0</v>
      </c>
      <c r="BM173" s="20">
        <v>17</v>
      </c>
      <c r="BN173" s="19">
        <v>6251</v>
      </c>
      <c r="BO173" s="23">
        <v>557</v>
      </c>
      <c r="BP173" s="24">
        <v>1701</v>
      </c>
      <c r="BQ173" s="23">
        <v>288</v>
      </c>
      <c r="BR173" s="24">
        <v>1701</v>
      </c>
      <c r="BS173" s="23">
        <v>288</v>
      </c>
      <c r="BT173" s="26">
        <v>0</v>
      </c>
      <c r="BU173" s="23">
        <v>17</v>
      </c>
      <c r="BV173" s="24">
        <v>3495</v>
      </c>
      <c r="BW173" s="23">
        <v>350</v>
      </c>
      <c r="BX173" s="24">
        <v>3466</v>
      </c>
      <c r="BY173" s="23">
        <v>347</v>
      </c>
      <c r="BZ173" s="24">
        <v>29</v>
      </c>
      <c r="CA173" s="23">
        <v>26</v>
      </c>
      <c r="CB173" s="24">
        <v>1055</v>
      </c>
      <c r="CC173" s="23">
        <v>206</v>
      </c>
      <c r="CD173" s="24">
        <v>1055</v>
      </c>
      <c r="CE173" s="23">
        <v>206</v>
      </c>
      <c r="CF173" s="24">
        <v>0</v>
      </c>
      <c r="CG173" s="20">
        <v>17</v>
      </c>
    </row>
    <row r="174" spans="1:85" x14ac:dyDescent="0.3">
      <c r="A174" t="s">
        <v>347</v>
      </c>
      <c r="B174">
        <v>21036</v>
      </c>
      <c r="C174" t="s">
        <v>348</v>
      </c>
      <c r="D174" s="19">
        <v>2337</v>
      </c>
      <c r="E174" s="20">
        <v>315</v>
      </c>
      <c r="F174" s="19">
        <v>46</v>
      </c>
      <c r="G174" s="23">
        <v>49</v>
      </c>
      <c r="H174" s="24">
        <v>0</v>
      </c>
      <c r="I174" s="23">
        <v>24</v>
      </c>
      <c r="J174" s="24">
        <v>0</v>
      </c>
      <c r="K174" s="23">
        <v>24</v>
      </c>
      <c r="L174" s="24">
        <v>0</v>
      </c>
      <c r="M174" s="23">
        <v>24</v>
      </c>
      <c r="N174" s="24">
        <v>32</v>
      </c>
      <c r="O174" s="23">
        <v>47</v>
      </c>
      <c r="P174" s="24">
        <v>32</v>
      </c>
      <c r="Q174" s="23">
        <v>47</v>
      </c>
      <c r="R174" s="24">
        <v>0</v>
      </c>
      <c r="S174" s="23">
        <v>24</v>
      </c>
      <c r="T174" s="24">
        <v>14</v>
      </c>
      <c r="U174" s="23">
        <v>26</v>
      </c>
      <c r="V174" s="24">
        <v>14</v>
      </c>
      <c r="W174" s="23">
        <v>26</v>
      </c>
      <c r="X174" s="24">
        <v>0</v>
      </c>
      <c r="Y174" s="20">
        <v>24</v>
      </c>
      <c r="Z174" s="19">
        <v>44</v>
      </c>
      <c r="AA174" s="23">
        <v>50</v>
      </c>
      <c r="AB174" s="24">
        <v>22</v>
      </c>
      <c r="AC174" s="23">
        <v>32</v>
      </c>
      <c r="AD174" s="24">
        <v>22</v>
      </c>
      <c r="AE174" s="23">
        <v>32</v>
      </c>
      <c r="AF174" s="24">
        <v>0</v>
      </c>
      <c r="AG174" s="23">
        <v>12</v>
      </c>
      <c r="AH174" s="24">
        <v>19</v>
      </c>
      <c r="AI174" s="23">
        <v>21</v>
      </c>
      <c r="AJ174" s="24">
        <v>19</v>
      </c>
      <c r="AK174" s="23">
        <v>21</v>
      </c>
      <c r="AL174" s="24">
        <v>0</v>
      </c>
      <c r="AM174" s="23">
        <v>12</v>
      </c>
      <c r="AN174" s="24">
        <v>3</v>
      </c>
      <c r="AO174" s="23">
        <v>5</v>
      </c>
      <c r="AP174" s="24">
        <v>3</v>
      </c>
      <c r="AQ174" s="23">
        <v>5</v>
      </c>
      <c r="AR174" s="24">
        <v>0</v>
      </c>
      <c r="AS174" s="20">
        <v>12</v>
      </c>
      <c r="AT174" s="19">
        <v>385</v>
      </c>
      <c r="AU174" s="23">
        <v>214</v>
      </c>
      <c r="AV174" s="24">
        <v>56</v>
      </c>
      <c r="AW174" s="23">
        <v>39</v>
      </c>
      <c r="AX174" s="24">
        <v>56</v>
      </c>
      <c r="AY174" s="23">
        <v>39</v>
      </c>
      <c r="AZ174" s="24">
        <v>0</v>
      </c>
      <c r="BA174" s="23">
        <v>12</v>
      </c>
      <c r="BB174" s="24">
        <v>245</v>
      </c>
      <c r="BC174" s="23">
        <v>149</v>
      </c>
      <c r="BD174" s="24">
        <v>235</v>
      </c>
      <c r="BE174" s="23">
        <v>151</v>
      </c>
      <c r="BF174" s="24">
        <v>10</v>
      </c>
      <c r="BG174" s="23">
        <v>17</v>
      </c>
      <c r="BH174" s="24">
        <v>84</v>
      </c>
      <c r="BI174" s="23">
        <v>58</v>
      </c>
      <c r="BJ174" s="24">
        <v>84</v>
      </c>
      <c r="BK174" s="23">
        <v>58</v>
      </c>
      <c r="BL174" s="24">
        <v>0</v>
      </c>
      <c r="BM174" s="20">
        <v>12</v>
      </c>
      <c r="BN174" s="19">
        <v>1862</v>
      </c>
      <c r="BO174" s="23">
        <v>288</v>
      </c>
      <c r="BP174" s="24">
        <v>491</v>
      </c>
      <c r="BQ174" s="23">
        <v>125</v>
      </c>
      <c r="BR174" s="24">
        <v>491</v>
      </c>
      <c r="BS174" s="23">
        <v>125</v>
      </c>
      <c r="BT174" s="26">
        <v>0</v>
      </c>
      <c r="BU174" s="23">
        <v>12</v>
      </c>
      <c r="BV174" s="24">
        <v>1108</v>
      </c>
      <c r="BW174" s="23">
        <v>193</v>
      </c>
      <c r="BX174" s="24">
        <v>1092</v>
      </c>
      <c r="BY174" s="23">
        <v>193</v>
      </c>
      <c r="BZ174" s="24">
        <v>16</v>
      </c>
      <c r="CA174" s="23">
        <v>25</v>
      </c>
      <c r="CB174" s="24">
        <v>263</v>
      </c>
      <c r="CC174" s="23">
        <v>79</v>
      </c>
      <c r="CD174" s="24">
        <v>263</v>
      </c>
      <c r="CE174" s="23">
        <v>79</v>
      </c>
      <c r="CF174" s="24">
        <v>0</v>
      </c>
      <c r="CG174" s="20">
        <v>12</v>
      </c>
    </row>
    <row r="175" spans="1:85" x14ac:dyDescent="0.3">
      <c r="A175" t="s">
        <v>349</v>
      </c>
      <c r="B175">
        <v>21037</v>
      </c>
      <c r="C175" t="s">
        <v>350</v>
      </c>
      <c r="D175" s="19">
        <v>21896</v>
      </c>
      <c r="E175" s="20">
        <v>1046</v>
      </c>
      <c r="F175" s="19">
        <v>1228</v>
      </c>
      <c r="G175" s="23">
        <v>584</v>
      </c>
      <c r="H175" s="24">
        <v>186</v>
      </c>
      <c r="I175" s="23">
        <v>195</v>
      </c>
      <c r="J175" s="24">
        <v>177</v>
      </c>
      <c r="K175" s="23">
        <v>193</v>
      </c>
      <c r="L175" s="24">
        <v>9</v>
      </c>
      <c r="M175" s="23">
        <v>37</v>
      </c>
      <c r="N175" s="24">
        <v>789</v>
      </c>
      <c r="O175" s="23">
        <v>464</v>
      </c>
      <c r="P175" s="24">
        <v>725</v>
      </c>
      <c r="Q175" s="23">
        <v>391</v>
      </c>
      <c r="R175" s="24">
        <v>64</v>
      </c>
      <c r="S175" s="23">
        <v>114</v>
      </c>
      <c r="T175" s="24">
        <v>253</v>
      </c>
      <c r="U175" s="23">
        <v>156</v>
      </c>
      <c r="V175" s="24">
        <v>253</v>
      </c>
      <c r="W175" s="23">
        <v>156</v>
      </c>
      <c r="X175" s="24">
        <v>0</v>
      </c>
      <c r="Y175" s="20">
        <v>44</v>
      </c>
      <c r="Z175" s="19">
        <v>1217</v>
      </c>
      <c r="AA175" s="23">
        <v>406</v>
      </c>
      <c r="AB175" s="24">
        <v>401</v>
      </c>
      <c r="AC175" s="23">
        <v>180</v>
      </c>
      <c r="AD175" s="24">
        <v>356</v>
      </c>
      <c r="AE175" s="23">
        <v>167</v>
      </c>
      <c r="AF175" s="24">
        <v>45</v>
      </c>
      <c r="AG175" s="23">
        <v>52</v>
      </c>
      <c r="AH175" s="24">
        <v>644</v>
      </c>
      <c r="AI175" s="23">
        <v>243</v>
      </c>
      <c r="AJ175" s="24">
        <v>474</v>
      </c>
      <c r="AK175" s="23">
        <v>189</v>
      </c>
      <c r="AL175" s="24">
        <v>170</v>
      </c>
      <c r="AM175" s="23">
        <v>131</v>
      </c>
      <c r="AN175" s="24">
        <v>172</v>
      </c>
      <c r="AO175" s="23">
        <v>76</v>
      </c>
      <c r="AP175" s="24">
        <v>172</v>
      </c>
      <c r="AQ175" s="23">
        <v>76</v>
      </c>
      <c r="AR175" s="24">
        <v>0</v>
      </c>
      <c r="AS175" s="20">
        <v>22</v>
      </c>
      <c r="AT175" s="19">
        <v>4571</v>
      </c>
      <c r="AU175" s="23">
        <v>871</v>
      </c>
      <c r="AV175" s="24">
        <v>1252</v>
      </c>
      <c r="AW175" s="23">
        <v>382</v>
      </c>
      <c r="AX175" s="24">
        <v>1003</v>
      </c>
      <c r="AY175" s="23">
        <v>340</v>
      </c>
      <c r="AZ175" s="24">
        <v>249</v>
      </c>
      <c r="BA175" s="23">
        <v>138</v>
      </c>
      <c r="BB175" s="24">
        <v>2598</v>
      </c>
      <c r="BC175" s="23">
        <v>554</v>
      </c>
      <c r="BD175" s="24">
        <v>2193</v>
      </c>
      <c r="BE175" s="23">
        <v>482</v>
      </c>
      <c r="BF175" s="24">
        <v>405</v>
      </c>
      <c r="BG175" s="23">
        <v>232</v>
      </c>
      <c r="BH175" s="24">
        <v>721</v>
      </c>
      <c r="BI175" s="23">
        <v>195</v>
      </c>
      <c r="BJ175" s="24">
        <v>721</v>
      </c>
      <c r="BK175" s="23">
        <v>195</v>
      </c>
      <c r="BL175" s="24">
        <v>0</v>
      </c>
      <c r="BM175" s="20">
        <v>22</v>
      </c>
      <c r="BN175" s="19">
        <v>14880</v>
      </c>
      <c r="BO175" s="23">
        <v>1242</v>
      </c>
      <c r="BP175" s="24">
        <v>3356</v>
      </c>
      <c r="BQ175" s="23">
        <v>439</v>
      </c>
      <c r="BR175" s="24">
        <v>3310</v>
      </c>
      <c r="BS175" s="23">
        <v>433</v>
      </c>
      <c r="BT175" s="26">
        <v>46</v>
      </c>
      <c r="BU175" s="23">
        <v>47</v>
      </c>
      <c r="BV175" s="24">
        <v>9535</v>
      </c>
      <c r="BW175" s="23">
        <v>894</v>
      </c>
      <c r="BX175" s="24">
        <v>9276</v>
      </c>
      <c r="BY175" s="23">
        <v>889</v>
      </c>
      <c r="BZ175" s="24">
        <v>259</v>
      </c>
      <c r="CA175" s="23">
        <v>134</v>
      </c>
      <c r="CB175" s="24">
        <v>1989</v>
      </c>
      <c r="CC175" s="23">
        <v>323</v>
      </c>
      <c r="CD175" s="24">
        <v>1967</v>
      </c>
      <c r="CE175" s="23">
        <v>319</v>
      </c>
      <c r="CF175" s="24">
        <v>22</v>
      </c>
      <c r="CG175" s="20">
        <v>33</v>
      </c>
    </row>
    <row r="176" spans="1:85" x14ac:dyDescent="0.3">
      <c r="A176" t="s">
        <v>351</v>
      </c>
      <c r="B176">
        <v>21040</v>
      </c>
      <c r="C176" t="s">
        <v>352</v>
      </c>
      <c r="D176" s="19">
        <v>24103</v>
      </c>
      <c r="E176" s="20">
        <v>1066</v>
      </c>
      <c r="F176" s="19">
        <v>5763</v>
      </c>
      <c r="G176" s="23">
        <v>2066</v>
      </c>
      <c r="H176" s="24">
        <v>2499</v>
      </c>
      <c r="I176" s="23">
        <v>1182</v>
      </c>
      <c r="J176" s="24">
        <v>2376</v>
      </c>
      <c r="K176" s="23">
        <v>1146</v>
      </c>
      <c r="L176" s="24">
        <v>123</v>
      </c>
      <c r="M176" s="23">
        <v>156</v>
      </c>
      <c r="N176" s="24">
        <v>2943</v>
      </c>
      <c r="O176" s="23">
        <v>1016</v>
      </c>
      <c r="P176" s="24">
        <v>2528</v>
      </c>
      <c r="Q176" s="23">
        <v>936</v>
      </c>
      <c r="R176" s="24">
        <v>415</v>
      </c>
      <c r="S176" s="23">
        <v>249</v>
      </c>
      <c r="T176" s="24">
        <v>321</v>
      </c>
      <c r="U176" s="23">
        <v>182</v>
      </c>
      <c r="V176" s="24">
        <v>321</v>
      </c>
      <c r="W176" s="23">
        <v>182</v>
      </c>
      <c r="X176" s="24">
        <v>0</v>
      </c>
      <c r="Y176" s="20">
        <v>44</v>
      </c>
      <c r="Z176" s="19">
        <v>3253</v>
      </c>
      <c r="AA176" s="23">
        <v>817</v>
      </c>
      <c r="AB176" s="24">
        <v>1014</v>
      </c>
      <c r="AC176" s="23">
        <v>375</v>
      </c>
      <c r="AD176" s="24">
        <v>1014</v>
      </c>
      <c r="AE176" s="23">
        <v>375</v>
      </c>
      <c r="AF176" s="24">
        <v>0</v>
      </c>
      <c r="AG176" s="23">
        <v>22</v>
      </c>
      <c r="AH176" s="24">
        <v>1888</v>
      </c>
      <c r="AI176" s="23">
        <v>467</v>
      </c>
      <c r="AJ176" s="24">
        <v>1788</v>
      </c>
      <c r="AK176" s="23">
        <v>472</v>
      </c>
      <c r="AL176" s="24">
        <v>100</v>
      </c>
      <c r="AM176" s="23">
        <v>65</v>
      </c>
      <c r="AN176" s="24">
        <v>351</v>
      </c>
      <c r="AO176" s="23">
        <v>137</v>
      </c>
      <c r="AP176" s="24">
        <v>351</v>
      </c>
      <c r="AQ176" s="23">
        <v>137</v>
      </c>
      <c r="AR176" s="24">
        <v>0</v>
      </c>
      <c r="AS176" s="20">
        <v>22</v>
      </c>
      <c r="AT176" s="19">
        <v>7267</v>
      </c>
      <c r="AU176" s="23">
        <v>1210</v>
      </c>
      <c r="AV176" s="24">
        <v>2148</v>
      </c>
      <c r="AW176" s="23">
        <v>497</v>
      </c>
      <c r="AX176" s="24">
        <v>2055</v>
      </c>
      <c r="AY176" s="23">
        <v>502</v>
      </c>
      <c r="AZ176" s="24">
        <v>93</v>
      </c>
      <c r="BA176" s="23">
        <v>118</v>
      </c>
      <c r="BB176" s="24">
        <v>4313</v>
      </c>
      <c r="BC176" s="23">
        <v>777</v>
      </c>
      <c r="BD176" s="24">
        <v>3838</v>
      </c>
      <c r="BE176" s="23">
        <v>685</v>
      </c>
      <c r="BF176" s="24">
        <v>475</v>
      </c>
      <c r="BG176" s="23">
        <v>250</v>
      </c>
      <c r="BH176" s="24">
        <v>806</v>
      </c>
      <c r="BI176" s="23">
        <v>227</v>
      </c>
      <c r="BJ176" s="24">
        <v>790</v>
      </c>
      <c r="BK176" s="23">
        <v>215</v>
      </c>
      <c r="BL176" s="24">
        <v>16</v>
      </c>
      <c r="BM176" s="20">
        <v>29</v>
      </c>
      <c r="BN176" s="19">
        <v>7820</v>
      </c>
      <c r="BO176" s="23">
        <v>982</v>
      </c>
      <c r="BP176" s="24">
        <v>1110</v>
      </c>
      <c r="BQ176" s="23">
        <v>319</v>
      </c>
      <c r="BR176" s="24">
        <v>1068</v>
      </c>
      <c r="BS176" s="23">
        <v>324</v>
      </c>
      <c r="BT176" s="26">
        <v>42</v>
      </c>
      <c r="BU176" s="23">
        <v>54</v>
      </c>
      <c r="BV176" s="24">
        <v>5766</v>
      </c>
      <c r="BW176" s="23">
        <v>794</v>
      </c>
      <c r="BX176" s="24">
        <v>5527</v>
      </c>
      <c r="BY176" s="23">
        <v>752</v>
      </c>
      <c r="BZ176" s="24">
        <v>239</v>
      </c>
      <c r="CA176" s="23">
        <v>133</v>
      </c>
      <c r="CB176" s="24">
        <v>944</v>
      </c>
      <c r="CC176" s="23">
        <v>206</v>
      </c>
      <c r="CD176" s="24">
        <v>944</v>
      </c>
      <c r="CE176" s="23">
        <v>206</v>
      </c>
      <c r="CF176" s="24">
        <v>0</v>
      </c>
      <c r="CG176" s="20">
        <v>22</v>
      </c>
    </row>
    <row r="177" spans="1:85" x14ac:dyDescent="0.3">
      <c r="A177" t="s">
        <v>353</v>
      </c>
      <c r="B177">
        <v>21042</v>
      </c>
      <c r="C177" t="s">
        <v>354</v>
      </c>
      <c r="D177" s="19">
        <v>40115</v>
      </c>
      <c r="E177" s="20">
        <v>1048</v>
      </c>
      <c r="F177" s="19">
        <v>1582</v>
      </c>
      <c r="G177" s="23">
        <v>699</v>
      </c>
      <c r="H177" s="24">
        <v>462</v>
      </c>
      <c r="I177" s="23">
        <v>273</v>
      </c>
      <c r="J177" s="24">
        <v>436</v>
      </c>
      <c r="K177" s="23">
        <v>269</v>
      </c>
      <c r="L177" s="24">
        <v>26</v>
      </c>
      <c r="M177" s="23">
        <v>55</v>
      </c>
      <c r="N177" s="24">
        <v>879</v>
      </c>
      <c r="O177" s="23">
        <v>435</v>
      </c>
      <c r="P177" s="24">
        <v>751</v>
      </c>
      <c r="Q177" s="23">
        <v>390</v>
      </c>
      <c r="R177" s="24">
        <v>128</v>
      </c>
      <c r="S177" s="23">
        <v>102</v>
      </c>
      <c r="T177" s="24">
        <v>241</v>
      </c>
      <c r="U177" s="23">
        <v>155</v>
      </c>
      <c r="V177" s="24">
        <v>241</v>
      </c>
      <c r="W177" s="23">
        <v>155</v>
      </c>
      <c r="X177" s="24">
        <v>0</v>
      </c>
      <c r="Y177" s="20">
        <v>50</v>
      </c>
      <c r="Z177" s="19">
        <v>804</v>
      </c>
      <c r="AA177" s="23">
        <v>281</v>
      </c>
      <c r="AB177" s="24">
        <v>112</v>
      </c>
      <c r="AC177" s="23">
        <v>91</v>
      </c>
      <c r="AD177" s="24">
        <v>112</v>
      </c>
      <c r="AE177" s="23">
        <v>91</v>
      </c>
      <c r="AF177" s="24">
        <v>0</v>
      </c>
      <c r="AG177" s="23">
        <v>25</v>
      </c>
      <c r="AH177" s="24">
        <v>350</v>
      </c>
      <c r="AI177" s="23">
        <v>162</v>
      </c>
      <c r="AJ177" s="24">
        <v>326</v>
      </c>
      <c r="AK177" s="23">
        <v>154</v>
      </c>
      <c r="AL177" s="24">
        <v>24</v>
      </c>
      <c r="AM177" s="23">
        <v>24</v>
      </c>
      <c r="AN177" s="24">
        <v>342</v>
      </c>
      <c r="AO177" s="23">
        <v>197</v>
      </c>
      <c r="AP177" s="24">
        <v>342</v>
      </c>
      <c r="AQ177" s="23">
        <v>197</v>
      </c>
      <c r="AR177" s="24">
        <v>0</v>
      </c>
      <c r="AS177" s="20">
        <v>25</v>
      </c>
      <c r="AT177" s="19">
        <v>4482</v>
      </c>
      <c r="AU177" s="23">
        <v>717</v>
      </c>
      <c r="AV177" s="24">
        <v>1167</v>
      </c>
      <c r="AW177" s="23">
        <v>302</v>
      </c>
      <c r="AX177" s="24">
        <v>1131</v>
      </c>
      <c r="AY177" s="23">
        <v>301</v>
      </c>
      <c r="AZ177" s="24">
        <v>36</v>
      </c>
      <c r="BA177" s="23">
        <v>35</v>
      </c>
      <c r="BB177" s="24">
        <v>2154</v>
      </c>
      <c r="BC177" s="23">
        <v>388</v>
      </c>
      <c r="BD177" s="24">
        <v>1952</v>
      </c>
      <c r="BE177" s="23">
        <v>377</v>
      </c>
      <c r="BF177" s="24">
        <v>202</v>
      </c>
      <c r="BG177" s="23">
        <v>100</v>
      </c>
      <c r="BH177" s="24">
        <v>1161</v>
      </c>
      <c r="BI177" s="23">
        <v>246</v>
      </c>
      <c r="BJ177" s="24">
        <v>1161</v>
      </c>
      <c r="BK177" s="23">
        <v>246</v>
      </c>
      <c r="BL177" s="24">
        <v>0</v>
      </c>
      <c r="BM177" s="20">
        <v>25</v>
      </c>
      <c r="BN177" s="19">
        <v>33247</v>
      </c>
      <c r="BO177" s="23">
        <v>1127</v>
      </c>
      <c r="BP177" s="24">
        <v>8810</v>
      </c>
      <c r="BQ177" s="23">
        <v>520</v>
      </c>
      <c r="BR177" s="24">
        <v>8549</v>
      </c>
      <c r="BS177" s="23">
        <v>521</v>
      </c>
      <c r="BT177" s="26">
        <v>261</v>
      </c>
      <c r="BU177" s="23">
        <v>164</v>
      </c>
      <c r="BV177" s="24">
        <v>19941</v>
      </c>
      <c r="BW177" s="23">
        <v>787</v>
      </c>
      <c r="BX177" s="24">
        <v>19379</v>
      </c>
      <c r="BY177" s="23">
        <v>792</v>
      </c>
      <c r="BZ177" s="24">
        <v>562</v>
      </c>
      <c r="CA177" s="23">
        <v>219</v>
      </c>
      <c r="CB177" s="24">
        <v>4496</v>
      </c>
      <c r="CC177" s="23">
        <v>359</v>
      </c>
      <c r="CD177" s="24">
        <v>4448</v>
      </c>
      <c r="CE177" s="23">
        <v>351</v>
      </c>
      <c r="CF177" s="24">
        <v>48</v>
      </c>
      <c r="CG177" s="20">
        <v>50</v>
      </c>
    </row>
    <row r="178" spans="1:85" x14ac:dyDescent="0.3">
      <c r="A178" t="s">
        <v>355</v>
      </c>
      <c r="B178">
        <v>21043</v>
      </c>
      <c r="C178" t="s">
        <v>356</v>
      </c>
      <c r="D178" s="19">
        <v>46925</v>
      </c>
      <c r="E178" s="20">
        <v>1347</v>
      </c>
      <c r="F178" s="19">
        <v>3294</v>
      </c>
      <c r="G178" s="23">
        <v>1242</v>
      </c>
      <c r="H178" s="24">
        <v>922</v>
      </c>
      <c r="I178" s="23">
        <v>562</v>
      </c>
      <c r="J178" s="24">
        <v>907</v>
      </c>
      <c r="K178" s="23">
        <v>563</v>
      </c>
      <c r="L178" s="24">
        <v>15</v>
      </c>
      <c r="M178" s="23">
        <v>48</v>
      </c>
      <c r="N178" s="24">
        <v>1827</v>
      </c>
      <c r="O178" s="23">
        <v>752</v>
      </c>
      <c r="P178" s="24">
        <v>1574</v>
      </c>
      <c r="Q178" s="23">
        <v>699</v>
      </c>
      <c r="R178" s="24">
        <v>253</v>
      </c>
      <c r="S178" s="23">
        <v>135</v>
      </c>
      <c r="T178" s="24">
        <v>545</v>
      </c>
      <c r="U178" s="23">
        <v>271</v>
      </c>
      <c r="V178" s="24">
        <v>538</v>
      </c>
      <c r="W178" s="23">
        <v>271</v>
      </c>
      <c r="X178" s="24">
        <v>7</v>
      </c>
      <c r="Y178" s="20">
        <v>35</v>
      </c>
      <c r="Z178" s="19">
        <v>2637</v>
      </c>
      <c r="AA178" s="23">
        <v>914</v>
      </c>
      <c r="AB178" s="24">
        <v>899</v>
      </c>
      <c r="AC178" s="23">
        <v>422</v>
      </c>
      <c r="AD178" s="24">
        <v>827</v>
      </c>
      <c r="AE178" s="23">
        <v>412</v>
      </c>
      <c r="AF178" s="24">
        <v>72</v>
      </c>
      <c r="AG178" s="23">
        <v>102</v>
      </c>
      <c r="AH178" s="24">
        <v>1394</v>
      </c>
      <c r="AI178" s="23">
        <v>510</v>
      </c>
      <c r="AJ178" s="24">
        <v>1096</v>
      </c>
      <c r="AK178" s="23">
        <v>433</v>
      </c>
      <c r="AL178" s="24">
        <v>298</v>
      </c>
      <c r="AM178" s="23">
        <v>218</v>
      </c>
      <c r="AN178" s="24">
        <v>344</v>
      </c>
      <c r="AO178" s="23">
        <v>116</v>
      </c>
      <c r="AP178" s="24">
        <v>337</v>
      </c>
      <c r="AQ178" s="23">
        <v>115</v>
      </c>
      <c r="AR178" s="24">
        <v>7</v>
      </c>
      <c r="AS178" s="20">
        <v>10</v>
      </c>
      <c r="AT178" s="19">
        <v>8095</v>
      </c>
      <c r="AU178" s="23">
        <v>1025</v>
      </c>
      <c r="AV178" s="24">
        <v>2153</v>
      </c>
      <c r="AW178" s="23">
        <v>450</v>
      </c>
      <c r="AX178" s="24">
        <v>2139</v>
      </c>
      <c r="AY178" s="23">
        <v>451</v>
      </c>
      <c r="AZ178" s="24">
        <v>14</v>
      </c>
      <c r="BA178" s="23">
        <v>22</v>
      </c>
      <c r="BB178" s="24">
        <v>4799</v>
      </c>
      <c r="BC178" s="23">
        <v>636</v>
      </c>
      <c r="BD178" s="24">
        <v>4389</v>
      </c>
      <c r="BE178" s="23">
        <v>638</v>
      </c>
      <c r="BF178" s="24">
        <v>410</v>
      </c>
      <c r="BG178" s="23">
        <v>200</v>
      </c>
      <c r="BH178" s="24">
        <v>1143</v>
      </c>
      <c r="BI178" s="23">
        <v>287</v>
      </c>
      <c r="BJ178" s="24">
        <v>1050</v>
      </c>
      <c r="BK178" s="23">
        <v>286</v>
      </c>
      <c r="BL178" s="24">
        <v>93</v>
      </c>
      <c r="BM178" s="20">
        <v>72</v>
      </c>
      <c r="BN178" s="19">
        <v>32899</v>
      </c>
      <c r="BO178" s="23">
        <v>1278</v>
      </c>
      <c r="BP178" s="24">
        <v>8648</v>
      </c>
      <c r="BQ178" s="23">
        <v>538</v>
      </c>
      <c r="BR178" s="24">
        <v>8501</v>
      </c>
      <c r="BS178" s="23">
        <v>548</v>
      </c>
      <c r="BT178" s="26">
        <v>147</v>
      </c>
      <c r="BU178" s="23">
        <v>118</v>
      </c>
      <c r="BV178" s="24">
        <v>21118</v>
      </c>
      <c r="BW178" s="23">
        <v>939</v>
      </c>
      <c r="BX178" s="24">
        <v>20629</v>
      </c>
      <c r="BY178" s="23">
        <v>955</v>
      </c>
      <c r="BZ178" s="24">
        <v>489</v>
      </c>
      <c r="CA178" s="23">
        <v>215</v>
      </c>
      <c r="CB178" s="24">
        <v>3133</v>
      </c>
      <c r="CC178" s="23">
        <v>276</v>
      </c>
      <c r="CD178" s="24">
        <v>3077</v>
      </c>
      <c r="CE178" s="23">
        <v>276</v>
      </c>
      <c r="CF178" s="24">
        <v>56</v>
      </c>
      <c r="CG178" s="20">
        <v>56</v>
      </c>
    </row>
    <row r="179" spans="1:85" x14ac:dyDescent="0.3">
      <c r="A179" t="s">
        <v>357</v>
      </c>
      <c r="B179">
        <v>21044</v>
      </c>
      <c r="C179" t="s">
        <v>358</v>
      </c>
      <c r="D179" s="19">
        <v>42858</v>
      </c>
      <c r="E179" s="20">
        <v>963</v>
      </c>
      <c r="F179" s="19">
        <v>4726</v>
      </c>
      <c r="G179" s="23">
        <v>1431</v>
      </c>
      <c r="H179" s="24">
        <v>1595</v>
      </c>
      <c r="I179" s="23">
        <v>728</v>
      </c>
      <c r="J179" s="24">
        <v>1595</v>
      </c>
      <c r="K179" s="23">
        <v>728</v>
      </c>
      <c r="L179" s="24">
        <v>0</v>
      </c>
      <c r="M179" s="23">
        <v>50</v>
      </c>
      <c r="N179" s="24">
        <v>2614</v>
      </c>
      <c r="O179" s="23">
        <v>846</v>
      </c>
      <c r="P179" s="24">
        <v>2251</v>
      </c>
      <c r="Q179" s="23">
        <v>770</v>
      </c>
      <c r="R179" s="24">
        <v>363</v>
      </c>
      <c r="S179" s="23">
        <v>302</v>
      </c>
      <c r="T179" s="24">
        <v>517</v>
      </c>
      <c r="U179" s="23">
        <v>268</v>
      </c>
      <c r="V179" s="24">
        <v>517</v>
      </c>
      <c r="W179" s="23">
        <v>268</v>
      </c>
      <c r="X179" s="24">
        <v>0</v>
      </c>
      <c r="Y179" s="20">
        <v>50</v>
      </c>
      <c r="Z179" s="19">
        <v>2028</v>
      </c>
      <c r="AA179" s="23">
        <v>682</v>
      </c>
      <c r="AB179" s="24">
        <v>485</v>
      </c>
      <c r="AC179" s="23">
        <v>285</v>
      </c>
      <c r="AD179" s="24">
        <v>485</v>
      </c>
      <c r="AE179" s="23">
        <v>285</v>
      </c>
      <c r="AF179" s="24">
        <v>0</v>
      </c>
      <c r="AG179" s="23">
        <v>25</v>
      </c>
      <c r="AH179" s="24">
        <v>1206</v>
      </c>
      <c r="AI179" s="23">
        <v>454</v>
      </c>
      <c r="AJ179" s="24">
        <v>778</v>
      </c>
      <c r="AK179" s="23">
        <v>316</v>
      </c>
      <c r="AL179" s="24">
        <v>428</v>
      </c>
      <c r="AM179" s="23">
        <v>293</v>
      </c>
      <c r="AN179" s="24">
        <v>337</v>
      </c>
      <c r="AO179" s="23">
        <v>123</v>
      </c>
      <c r="AP179" s="24">
        <v>330</v>
      </c>
      <c r="AQ179" s="23">
        <v>112</v>
      </c>
      <c r="AR179" s="24">
        <v>7</v>
      </c>
      <c r="AS179" s="20">
        <v>49</v>
      </c>
      <c r="AT179" s="19">
        <v>7057</v>
      </c>
      <c r="AU179" s="23">
        <v>1093</v>
      </c>
      <c r="AV179" s="24">
        <v>1957</v>
      </c>
      <c r="AW179" s="23">
        <v>494</v>
      </c>
      <c r="AX179" s="24">
        <v>1904</v>
      </c>
      <c r="AY179" s="23">
        <v>486</v>
      </c>
      <c r="AZ179" s="24">
        <v>53</v>
      </c>
      <c r="BA179" s="23">
        <v>70</v>
      </c>
      <c r="BB179" s="24">
        <v>4246</v>
      </c>
      <c r="BC179" s="23">
        <v>673</v>
      </c>
      <c r="BD179" s="24">
        <v>3348</v>
      </c>
      <c r="BE179" s="23">
        <v>600</v>
      </c>
      <c r="BF179" s="24">
        <v>898</v>
      </c>
      <c r="BG179" s="23">
        <v>313</v>
      </c>
      <c r="BH179" s="24">
        <v>854</v>
      </c>
      <c r="BI179" s="23">
        <v>208</v>
      </c>
      <c r="BJ179" s="24">
        <v>854</v>
      </c>
      <c r="BK179" s="23">
        <v>208</v>
      </c>
      <c r="BL179" s="24">
        <v>0</v>
      </c>
      <c r="BM179" s="20">
        <v>25</v>
      </c>
      <c r="BN179" s="19">
        <v>29047</v>
      </c>
      <c r="BO179" s="23">
        <v>1174</v>
      </c>
      <c r="BP179" s="24">
        <v>5184</v>
      </c>
      <c r="BQ179" s="23">
        <v>497</v>
      </c>
      <c r="BR179" s="24">
        <v>5103</v>
      </c>
      <c r="BS179" s="23">
        <v>501</v>
      </c>
      <c r="BT179" s="26">
        <v>81</v>
      </c>
      <c r="BU179" s="23">
        <v>92</v>
      </c>
      <c r="BV179" s="24">
        <v>19085</v>
      </c>
      <c r="BW179" s="23">
        <v>914</v>
      </c>
      <c r="BX179" s="24">
        <v>18728</v>
      </c>
      <c r="BY179" s="23">
        <v>940</v>
      </c>
      <c r="BZ179" s="24">
        <v>357</v>
      </c>
      <c r="CA179" s="23">
        <v>168</v>
      </c>
      <c r="CB179" s="24">
        <v>4778</v>
      </c>
      <c r="CC179" s="23">
        <v>411</v>
      </c>
      <c r="CD179" s="24">
        <v>4748</v>
      </c>
      <c r="CE179" s="23">
        <v>411</v>
      </c>
      <c r="CF179" s="24">
        <v>30</v>
      </c>
      <c r="CG179" s="20">
        <v>39</v>
      </c>
    </row>
    <row r="180" spans="1:85" x14ac:dyDescent="0.3">
      <c r="A180" t="s">
        <v>359</v>
      </c>
      <c r="B180">
        <v>21045</v>
      </c>
      <c r="C180" t="s">
        <v>360</v>
      </c>
      <c r="D180" s="19">
        <v>39374</v>
      </c>
      <c r="E180" s="20">
        <v>963</v>
      </c>
      <c r="F180" s="19">
        <v>4270</v>
      </c>
      <c r="G180" s="23">
        <v>1250</v>
      </c>
      <c r="H180" s="24">
        <v>1740</v>
      </c>
      <c r="I180" s="23">
        <v>740</v>
      </c>
      <c r="J180" s="24">
        <v>1616</v>
      </c>
      <c r="K180" s="23">
        <v>728</v>
      </c>
      <c r="L180" s="24">
        <v>124</v>
      </c>
      <c r="M180" s="23">
        <v>147</v>
      </c>
      <c r="N180" s="24">
        <v>2021</v>
      </c>
      <c r="O180" s="23">
        <v>593</v>
      </c>
      <c r="P180" s="24">
        <v>1626</v>
      </c>
      <c r="Q180" s="23">
        <v>526</v>
      </c>
      <c r="R180" s="24">
        <v>395</v>
      </c>
      <c r="S180" s="23">
        <v>189</v>
      </c>
      <c r="T180" s="24">
        <v>509</v>
      </c>
      <c r="U180" s="23">
        <v>211</v>
      </c>
      <c r="V180" s="24">
        <v>509</v>
      </c>
      <c r="W180" s="23">
        <v>211</v>
      </c>
      <c r="X180" s="24">
        <v>0</v>
      </c>
      <c r="Y180" s="20">
        <v>50</v>
      </c>
      <c r="Z180" s="19">
        <v>1936</v>
      </c>
      <c r="AA180" s="23">
        <v>527</v>
      </c>
      <c r="AB180" s="24">
        <v>655</v>
      </c>
      <c r="AC180" s="23">
        <v>267</v>
      </c>
      <c r="AD180" s="24">
        <v>618</v>
      </c>
      <c r="AE180" s="23">
        <v>255</v>
      </c>
      <c r="AF180" s="24">
        <v>37</v>
      </c>
      <c r="AG180" s="23">
        <v>31</v>
      </c>
      <c r="AH180" s="24">
        <v>966</v>
      </c>
      <c r="AI180" s="23">
        <v>272</v>
      </c>
      <c r="AJ180" s="24">
        <v>826</v>
      </c>
      <c r="AK180" s="23">
        <v>251</v>
      </c>
      <c r="AL180" s="24">
        <v>140</v>
      </c>
      <c r="AM180" s="23">
        <v>114</v>
      </c>
      <c r="AN180" s="24">
        <v>315</v>
      </c>
      <c r="AO180" s="23">
        <v>126</v>
      </c>
      <c r="AP180" s="24">
        <v>298</v>
      </c>
      <c r="AQ180" s="23">
        <v>121</v>
      </c>
      <c r="AR180" s="24">
        <v>17</v>
      </c>
      <c r="AS180" s="20">
        <v>16</v>
      </c>
      <c r="AT180" s="19">
        <v>10060</v>
      </c>
      <c r="AU180" s="23">
        <v>1131</v>
      </c>
      <c r="AV180" s="24">
        <v>3155</v>
      </c>
      <c r="AW180" s="23">
        <v>488</v>
      </c>
      <c r="AX180" s="24">
        <v>3133</v>
      </c>
      <c r="AY180" s="23">
        <v>486</v>
      </c>
      <c r="AZ180" s="24">
        <v>22</v>
      </c>
      <c r="BA180" s="23">
        <v>26</v>
      </c>
      <c r="BB180" s="24">
        <v>5752</v>
      </c>
      <c r="BC180" s="23">
        <v>769</v>
      </c>
      <c r="BD180" s="24">
        <v>5385</v>
      </c>
      <c r="BE180" s="23">
        <v>723</v>
      </c>
      <c r="BF180" s="24">
        <v>367</v>
      </c>
      <c r="BG180" s="23">
        <v>182</v>
      </c>
      <c r="BH180" s="24">
        <v>1153</v>
      </c>
      <c r="BI180" s="23">
        <v>187</v>
      </c>
      <c r="BJ180" s="24">
        <v>1125</v>
      </c>
      <c r="BK180" s="23">
        <v>185</v>
      </c>
      <c r="BL180" s="24">
        <v>28</v>
      </c>
      <c r="BM180" s="20">
        <v>32</v>
      </c>
      <c r="BN180" s="19">
        <v>23108</v>
      </c>
      <c r="BO180" s="23">
        <v>1136</v>
      </c>
      <c r="BP180" s="24">
        <v>4154</v>
      </c>
      <c r="BQ180" s="23">
        <v>455</v>
      </c>
      <c r="BR180" s="24">
        <v>4125</v>
      </c>
      <c r="BS180" s="23">
        <v>449</v>
      </c>
      <c r="BT180" s="26">
        <v>29</v>
      </c>
      <c r="BU180" s="23">
        <v>34</v>
      </c>
      <c r="BV180" s="24">
        <v>15368</v>
      </c>
      <c r="BW180" s="23">
        <v>785</v>
      </c>
      <c r="BX180" s="24">
        <v>14828</v>
      </c>
      <c r="BY180" s="23">
        <v>757</v>
      </c>
      <c r="BZ180" s="24">
        <v>540</v>
      </c>
      <c r="CA180" s="23">
        <v>279</v>
      </c>
      <c r="CB180" s="24">
        <v>3586</v>
      </c>
      <c r="CC180" s="23">
        <v>251</v>
      </c>
      <c r="CD180" s="24">
        <v>3547</v>
      </c>
      <c r="CE180" s="23">
        <v>247</v>
      </c>
      <c r="CF180" s="24">
        <v>39</v>
      </c>
      <c r="CG180" s="20">
        <v>47</v>
      </c>
    </row>
    <row r="181" spans="1:85" x14ac:dyDescent="0.3">
      <c r="A181" t="s">
        <v>361</v>
      </c>
      <c r="B181">
        <v>21046</v>
      </c>
      <c r="C181" t="s">
        <v>362</v>
      </c>
      <c r="D181" s="19">
        <v>15985</v>
      </c>
      <c r="E181" s="20">
        <v>560</v>
      </c>
      <c r="F181" s="19">
        <v>2006</v>
      </c>
      <c r="G181" s="23">
        <v>910</v>
      </c>
      <c r="H181" s="24">
        <v>801</v>
      </c>
      <c r="I181" s="23">
        <v>503</v>
      </c>
      <c r="J181" s="24">
        <v>691</v>
      </c>
      <c r="K181" s="23">
        <v>442</v>
      </c>
      <c r="L181" s="24">
        <v>110</v>
      </c>
      <c r="M181" s="23">
        <v>168</v>
      </c>
      <c r="N181" s="24">
        <v>1125</v>
      </c>
      <c r="O181" s="23">
        <v>443</v>
      </c>
      <c r="P181" s="24">
        <v>981</v>
      </c>
      <c r="Q181" s="23">
        <v>399</v>
      </c>
      <c r="R181" s="24">
        <v>144</v>
      </c>
      <c r="S181" s="23">
        <v>143</v>
      </c>
      <c r="T181" s="24">
        <v>80</v>
      </c>
      <c r="U181" s="23">
        <v>76</v>
      </c>
      <c r="V181" s="24">
        <v>80</v>
      </c>
      <c r="W181" s="23">
        <v>76</v>
      </c>
      <c r="X181" s="24">
        <v>0</v>
      </c>
      <c r="Y181" s="20">
        <v>38</v>
      </c>
      <c r="Z181" s="19">
        <v>1225</v>
      </c>
      <c r="AA181" s="23">
        <v>498</v>
      </c>
      <c r="AB181" s="24">
        <v>513</v>
      </c>
      <c r="AC181" s="23">
        <v>262</v>
      </c>
      <c r="AD181" s="24">
        <v>492</v>
      </c>
      <c r="AE181" s="23">
        <v>253</v>
      </c>
      <c r="AF181" s="24">
        <v>21</v>
      </c>
      <c r="AG181" s="23">
        <v>32</v>
      </c>
      <c r="AH181" s="24">
        <v>612</v>
      </c>
      <c r="AI181" s="23">
        <v>232</v>
      </c>
      <c r="AJ181" s="24">
        <v>550</v>
      </c>
      <c r="AK181" s="23">
        <v>216</v>
      </c>
      <c r="AL181" s="24">
        <v>62</v>
      </c>
      <c r="AM181" s="23">
        <v>48</v>
      </c>
      <c r="AN181" s="24">
        <v>100</v>
      </c>
      <c r="AO181" s="23">
        <v>60</v>
      </c>
      <c r="AP181" s="24">
        <v>96</v>
      </c>
      <c r="AQ181" s="23">
        <v>61</v>
      </c>
      <c r="AR181" s="24">
        <v>4</v>
      </c>
      <c r="AS181" s="20">
        <v>9</v>
      </c>
      <c r="AT181" s="19">
        <v>2594</v>
      </c>
      <c r="AU181" s="23">
        <v>581</v>
      </c>
      <c r="AV181" s="24">
        <v>649</v>
      </c>
      <c r="AW181" s="23">
        <v>246</v>
      </c>
      <c r="AX181" s="24">
        <v>541</v>
      </c>
      <c r="AY181" s="23">
        <v>206</v>
      </c>
      <c r="AZ181" s="24">
        <v>108</v>
      </c>
      <c r="BA181" s="23">
        <v>121</v>
      </c>
      <c r="BB181" s="24">
        <v>1560</v>
      </c>
      <c r="BC181" s="23">
        <v>342</v>
      </c>
      <c r="BD181" s="24">
        <v>1423</v>
      </c>
      <c r="BE181" s="23">
        <v>293</v>
      </c>
      <c r="BF181" s="24">
        <v>137</v>
      </c>
      <c r="BG181" s="23">
        <v>108</v>
      </c>
      <c r="BH181" s="24">
        <v>385</v>
      </c>
      <c r="BI181" s="23">
        <v>140</v>
      </c>
      <c r="BJ181" s="24">
        <v>359</v>
      </c>
      <c r="BK181" s="23">
        <v>124</v>
      </c>
      <c r="BL181" s="24">
        <v>26</v>
      </c>
      <c r="BM181" s="20">
        <v>42</v>
      </c>
      <c r="BN181" s="19">
        <v>10160</v>
      </c>
      <c r="BO181" s="23">
        <v>591</v>
      </c>
      <c r="BP181" s="24">
        <v>1953</v>
      </c>
      <c r="BQ181" s="23">
        <v>304</v>
      </c>
      <c r="BR181" s="24">
        <v>1934</v>
      </c>
      <c r="BS181" s="23">
        <v>302</v>
      </c>
      <c r="BT181" s="26">
        <v>19</v>
      </c>
      <c r="BU181" s="23">
        <v>20</v>
      </c>
      <c r="BV181" s="24">
        <v>7048</v>
      </c>
      <c r="BW181" s="23">
        <v>423</v>
      </c>
      <c r="BX181" s="24">
        <v>6994</v>
      </c>
      <c r="BY181" s="23">
        <v>423</v>
      </c>
      <c r="BZ181" s="24">
        <v>54</v>
      </c>
      <c r="CA181" s="23">
        <v>34</v>
      </c>
      <c r="CB181" s="24">
        <v>1159</v>
      </c>
      <c r="CC181" s="23">
        <v>142</v>
      </c>
      <c r="CD181" s="24">
        <v>1159</v>
      </c>
      <c r="CE181" s="23">
        <v>142</v>
      </c>
      <c r="CF181" s="24">
        <v>0</v>
      </c>
      <c r="CG181" s="20">
        <v>19</v>
      </c>
    </row>
    <row r="182" spans="1:85" x14ac:dyDescent="0.3">
      <c r="A182" t="s">
        <v>363</v>
      </c>
      <c r="B182">
        <v>21047</v>
      </c>
      <c r="C182" t="s">
        <v>364</v>
      </c>
      <c r="D182" s="19">
        <v>12139</v>
      </c>
      <c r="E182" s="20">
        <v>660</v>
      </c>
      <c r="F182" s="19">
        <v>565</v>
      </c>
      <c r="G182" s="23">
        <v>308</v>
      </c>
      <c r="H182" s="24">
        <v>87</v>
      </c>
      <c r="I182" s="23">
        <v>93</v>
      </c>
      <c r="J182" s="24">
        <v>87</v>
      </c>
      <c r="K182" s="23">
        <v>93</v>
      </c>
      <c r="L182" s="24">
        <v>0</v>
      </c>
      <c r="M182" s="23">
        <v>38</v>
      </c>
      <c r="N182" s="24">
        <v>360</v>
      </c>
      <c r="O182" s="23">
        <v>225</v>
      </c>
      <c r="P182" s="24">
        <v>235</v>
      </c>
      <c r="Q182" s="23">
        <v>162</v>
      </c>
      <c r="R182" s="24">
        <v>125</v>
      </c>
      <c r="S182" s="23">
        <v>138</v>
      </c>
      <c r="T182" s="24">
        <v>118</v>
      </c>
      <c r="U182" s="23">
        <v>95</v>
      </c>
      <c r="V182" s="24">
        <v>118</v>
      </c>
      <c r="W182" s="23">
        <v>95</v>
      </c>
      <c r="X182" s="24">
        <v>0</v>
      </c>
      <c r="Y182" s="20">
        <v>38</v>
      </c>
      <c r="Z182" s="19">
        <v>270</v>
      </c>
      <c r="AA182" s="23">
        <v>200</v>
      </c>
      <c r="AB182" s="24">
        <v>50</v>
      </c>
      <c r="AC182" s="23">
        <v>58</v>
      </c>
      <c r="AD182" s="24">
        <v>50</v>
      </c>
      <c r="AE182" s="23">
        <v>58</v>
      </c>
      <c r="AF182" s="24">
        <v>0</v>
      </c>
      <c r="AG182" s="23">
        <v>19</v>
      </c>
      <c r="AH182" s="24">
        <v>50</v>
      </c>
      <c r="AI182" s="23">
        <v>46</v>
      </c>
      <c r="AJ182" s="24">
        <v>50</v>
      </c>
      <c r="AK182" s="23">
        <v>46</v>
      </c>
      <c r="AL182" s="24">
        <v>0</v>
      </c>
      <c r="AM182" s="23">
        <v>19</v>
      </c>
      <c r="AN182" s="24">
        <v>170</v>
      </c>
      <c r="AO182" s="23">
        <v>162</v>
      </c>
      <c r="AP182" s="24">
        <v>152</v>
      </c>
      <c r="AQ182" s="23">
        <v>155</v>
      </c>
      <c r="AR182" s="24">
        <v>18</v>
      </c>
      <c r="AS182" s="20">
        <v>29</v>
      </c>
      <c r="AT182" s="19">
        <v>2685</v>
      </c>
      <c r="AU182" s="23">
        <v>610</v>
      </c>
      <c r="AV182" s="24">
        <v>695</v>
      </c>
      <c r="AW182" s="23">
        <v>255</v>
      </c>
      <c r="AX182" s="24">
        <v>695</v>
      </c>
      <c r="AY182" s="23">
        <v>255</v>
      </c>
      <c r="AZ182" s="24">
        <v>0</v>
      </c>
      <c r="BA182" s="23">
        <v>19</v>
      </c>
      <c r="BB182" s="24">
        <v>1331</v>
      </c>
      <c r="BC182" s="23">
        <v>379</v>
      </c>
      <c r="BD182" s="24">
        <v>1191</v>
      </c>
      <c r="BE182" s="23">
        <v>339</v>
      </c>
      <c r="BF182" s="24">
        <v>140</v>
      </c>
      <c r="BG182" s="23">
        <v>110</v>
      </c>
      <c r="BH182" s="24">
        <v>659</v>
      </c>
      <c r="BI182" s="23">
        <v>197</v>
      </c>
      <c r="BJ182" s="24">
        <v>659</v>
      </c>
      <c r="BK182" s="23">
        <v>197</v>
      </c>
      <c r="BL182" s="24">
        <v>0</v>
      </c>
      <c r="BM182" s="20">
        <v>19</v>
      </c>
      <c r="BN182" s="19">
        <v>8619</v>
      </c>
      <c r="BO182" s="23">
        <v>709</v>
      </c>
      <c r="BP182" s="24">
        <v>2103</v>
      </c>
      <c r="BQ182" s="23">
        <v>308</v>
      </c>
      <c r="BR182" s="24">
        <v>2076</v>
      </c>
      <c r="BS182" s="23">
        <v>306</v>
      </c>
      <c r="BT182" s="26">
        <v>27</v>
      </c>
      <c r="BU182" s="23">
        <v>30</v>
      </c>
      <c r="BV182" s="24">
        <v>5070</v>
      </c>
      <c r="BW182" s="23">
        <v>463</v>
      </c>
      <c r="BX182" s="24">
        <v>4957</v>
      </c>
      <c r="BY182" s="23">
        <v>454</v>
      </c>
      <c r="BZ182" s="24">
        <v>113</v>
      </c>
      <c r="CA182" s="23">
        <v>72</v>
      </c>
      <c r="CB182" s="24">
        <v>1446</v>
      </c>
      <c r="CC182" s="23">
        <v>290</v>
      </c>
      <c r="CD182" s="24">
        <v>1446</v>
      </c>
      <c r="CE182" s="23">
        <v>290</v>
      </c>
      <c r="CF182" s="24">
        <v>0</v>
      </c>
      <c r="CG182" s="20">
        <v>19</v>
      </c>
    </row>
    <row r="183" spans="1:85" x14ac:dyDescent="0.3">
      <c r="A183" t="s">
        <v>365</v>
      </c>
      <c r="B183">
        <v>21048</v>
      </c>
      <c r="C183" t="s">
        <v>366</v>
      </c>
      <c r="D183" s="19">
        <v>10602</v>
      </c>
      <c r="E183" s="20">
        <v>842</v>
      </c>
      <c r="F183" s="19">
        <v>746</v>
      </c>
      <c r="G183" s="23">
        <v>491</v>
      </c>
      <c r="H183" s="24">
        <v>269</v>
      </c>
      <c r="I183" s="23">
        <v>292</v>
      </c>
      <c r="J183" s="24">
        <v>269</v>
      </c>
      <c r="K183" s="23">
        <v>292</v>
      </c>
      <c r="L183" s="24">
        <v>0</v>
      </c>
      <c r="M183" s="23">
        <v>38</v>
      </c>
      <c r="N183" s="24">
        <v>278</v>
      </c>
      <c r="O183" s="23">
        <v>194</v>
      </c>
      <c r="P183" s="24">
        <v>254</v>
      </c>
      <c r="Q183" s="23">
        <v>189</v>
      </c>
      <c r="R183" s="24">
        <v>24</v>
      </c>
      <c r="S183" s="23">
        <v>54</v>
      </c>
      <c r="T183" s="24">
        <v>199</v>
      </c>
      <c r="U183" s="23">
        <v>134</v>
      </c>
      <c r="V183" s="24">
        <v>198</v>
      </c>
      <c r="W183" s="23">
        <v>134</v>
      </c>
      <c r="X183" s="24">
        <v>1</v>
      </c>
      <c r="Y183" s="20">
        <v>21</v>
      </c>
      <c r="Z183" s="19">
        <v>293</v>
      </c>
      <c r="AA183" s="23">
        <v>131</v>
      </c>
      <c r="AB183" s="24">
        <v>30</v>
      </c>
      <c r="AC183" s="23">
        <v>34</v>
      </c>
      <c r="AD183" s="24">
        <v>30</v>
      </c>
      <c r="AE183" s="23">
        <v>34</v>
      </c>
      <c r="AF183" s="24">
        <v>0</v>
      </c>
      <c r="AG183" s="23">
        <v>19</v>
      </c>
      <c r="AH183" s="24">
        <v>79</v>
      </c>
      <c r="AI183" s="23">
        <v>57</v>
      </c>
      <c r="AJ183" s="24">
        <v>53</v>
      </c>
      <c r="AK183" s="23">
        <v>42</v>
      </c>
      <c r="AL183" s="24">
        <v>26</v>
      </c>
      <c r="AM183" s="23">
        <v>41</v>
      </c>
      <c r="AN183" s="24">
        <v>184</v>
      </c>
      <c r="AO183" s="23">
        <v>115</v>
      </c>
      <c r="AP183" s="24">
        <v>184</v>
      </c>
      <c r="AQ183" s="23">
        <v>115</v>
      </c>
      <c r="AR183" s="24">
        <v>0</v>
      </c>
      <c r="AS183" s="20">
        <v>19</v>
      </c>
      <c r="AT183" s="19">
        <v>2281</v>
      </c>
      <c r="AU183" s="23">
        <v>445</v>
      </c>
      <c r="AV183" s="24">
        <v>598</v>
      </c>
      <c r="AW183" s="23">
        <v>191</v>
      </c>
      <c r="AX183" s="24">
        <v>559</v>
      </c>
      <c r="AY183" s="23">
        <v>182</v>
      </c>
      <c r="AZ183" s="24">
        <v>39</v>
      </c>
      <c r="BA183" s="23">
        <v>61</v>
      </c>
      <c r="BB183" s="24">
        <v>1178</v>
      </c>
      <c r="BC183" s="23">
        <v>260</v>
      </c>
      <c r="BD183" s="24">
        <v>1053</v>
      </c>
      <c r="BE183" s="23">
        <v>261</v>
      </c>
      <c r="BF183" s="24">
        <v>125</v>
      </c>
      <c r="BG183" s="23">
        <v>86</v>
      </c>
      <c r="BH183" s="24">
        <v>505</v>
      </c>
      <c r="BI183" s="23">
        <v>139</v>
      </c>
      <c r="BJ183" s="24">
        <v>505</v>
      </c>
      <c r="BK183" s="23">
        <v>139</v>
      </c>
      <c r="BL183" s="24">
        <v>0</v>
      </c>
      <c r="BM183" s="20">
        <v>19</v>
      </c>
      <c r="BN183" s="19">
        <v>7282</v>
      </c>
      <c r="BO183" s="23">
        <v>743</v>
      </c>
      <c r="BP183" s="24">
        <v>1665</v>
      </c>
      <c r="BQ183" s="23">
        <v>298</v>
      </c>
      <c r="BR183" s="24">
        <v>1638</v>
      </c>
      <c r="BS183" s="23">
        <v>304</v>
      </c>
      <c r="BT183" s="26">
        <v>27</v>
      </c>
      <c r="BU183" s="23">
        <v>35</v>
      </c>
      <c r="BV183" s="24">
        <v>4714</v>
      </c>
      <c r="BW183" s="23">
        <v>493</v>
      </c>
      <c r="BX183" s="24">
        <v>4632</v>
      </c>
      <c r="BY183" s="23">
        <v>483</v>
      </c>
      <c r="BZ183" s="24">
        <v>82</v>
      </c>
      <c r="CA183" s="23">
        <v>74</v>
      </c>
      <c r="CB183" s="24">
        <v>903</v>
      </c>
      <c r="CC183" s="23">
        <v>190</v>
      </c>
      <c r="CD183" s="24">
        <v>903</v>
      </c>
      <c r="CE183" s="23">
        <v>190</v>
      </c>
      <c r="CF183" s="24">
        <v>0</v>
      </c>
      <c r="CG183" s="20">
        <v>19</v>
      </c>
    </row>
    <row r="184" spans="1:85" x14ac:dyDescent="0.3">
      <c r="A184" t="s">
        <v>367</v>
      </c>
      <c r="B184">
        <v>21050</v>
      </c>
      <c r="C184" t="s">
        <v>368</v>
      </c>
      <c r="D184" s="19">
        <v>17828</v>
      </c>
      <c r="E184" s="20">
        <v>539</v>
      </c>
      <c r="F184" s="19">
        <v>901</v>
      </c>
      <c r="G184" s="23">
        <v>312</v>
      </c>
      <c r="H184" s="24">
        <v>170</v>
      </c>
      <c r="I184" s="23">
        <v>124</v>
      </c>
      <c r="J184" s="24">
        <v>170</v>
      </c>
      <c r="K184" s="23">
        <v>124</v>
      </c>
      <c r="L184" s="24">
        <v>0</v>
      </c>
      <c r="M184" s="23">
        <v>38</v>
      </c>
      <c r="N184" s="24">
        <v>490</v>
      </c>
      <c r="O184" s="23">
        <v>200</v>
      </c>
      <c r="P184" s="24">
        <v>387</v>
      </c>
      <c r="Q184" s="23">
        <v>195</v>
      </c>
      <c r="R184" s="24">
        <v>103</v>
      </c>
      <c r="S184" s="23">
        <v>64</v>
      </c>
      <c r="T184" s="24">
        <v>241</v>
      </c>
      <c r="U184" s="23">
        <v>121</v>
      </c>
      <c r="V184" s="24">
        <v>241</v>
      </c>
      <c r="W184" s="23">
        <v>121</v>
      </c>
      <c r="X184" s="24">
        <v>0</v>
      </c>
      <c r="Y184" s="20">
        <v>38</v>
      </c>
      <c r="Z184" s="19">
        <v>777</v>
      </c>
      <c r="AA184" s="23">
        <v>247</v>
      </c>
      <c r="AB184" s="24">
        <v>86</v>
      </c>
      <c r="AC184" s="23">
        <v>93</v>
      </c>
      <c r="AD184" s="24">
        <v>86</v>
      </c>
      <c r="AE184" s="23">
        <v>93</v>
      </c>
      <c r="AF184" s="24">
        <v>0</v>
      </c>
      <c r="AG184" s="23">
        <v>19</v>
      </c>
      <c r="AH184" s="24">
        <v>239</v>
      </c>
      <c r="AI184" s="23">
        <v>154</v>
      </c>
      <c r="AJ184" s="24">
        <v>220</v>
      </c>
      <c r="AK184" s="23">
        <v>154</v>
      </c>
      <c r="AL184" s="24">
        <v>19</v>
      </c>
      <c r="AM184" s="23">
        <v>30</v>
      </c>
      <c r="AN184" s="24">
        <v>452</v>
      </c>
      <c r="AO184" s="23">
        <v>133</v>
      </c>
      <c r="AP184" s="24">
        <v>452</v>
      </c>
      <c r="AQ184" s="23">
        <v>133</v>
      </c>
      <c r="AR184" s="24">
        <v>0</v>
      </c>
      <c r="AS184" s="20">
        <v>19</v>
      </c>
      <c r="AT184" s="19">
        <v>3851</v>
      </c>
      <c r="AU184" s="23">
        <v>640</v>
      </c>
      <c r="AV184" s="24">
        <v>1028</v>
      </c>
      <c r="AW184" s="23">
        <v>286</v>
      </c>
      <c r="AX184" s="24">
        <v>986</v>
      </c>
      <c r="AY184" s="23">
        <v>286</v>
      </c>
      <c r="AZ184" s="24">
        <v>42</v>
      </c>
      <c r="BA184" s="23">
        <v>31</v>
      </c>
      <c r="BB184" s="24">
        <v>1972</v>
      </c>
      <c r="BC184" s="23">
        <v>378</v>
      </c>
      <c r="BD184" s="24">
        <v>1841</v>
      </c>
      <c r="BE184" s="23">
        <v>370</v>
      </c>
      <c r="BF184" s="24">
        <v>131</v>
      </c>
      <c r="BG184" s="23">
        <v>71</v>
      </c>
      <c r="BH184" s="24">
        <v>851</v>
      </c>
      <c r="BI184" s="23">
        <v>154</v>
      </c>
      <c r="BJ184" s="24">
        <v>851</v>
      </c>
      <c r="BK184" s="23">
        <v>154</v>
      </c>
      <c r="BL184" s="24">
        <v>0</v>
      </c>
      <c r="BM184" s="20">
        <v>19</v>
      </c>
      <c r="BN184" s="19">
        <v>12299</v>
      </c>
      <c r="BO184" s="23">
        <v>731</v>
      </c>
      <c r="BP184" s="24">
        <v>3086</v>
      </c>
      <c r="BQ184" s="23">
        <v>281</v>
      </c>
      <c r="BR184" s="24">
        <v>3073</v>
      </c>
      <c r="BS184" s="23">
        <v>285</v>
      </c>
      <c r="BT184" s="26">
        <v>13</v>
      </c>
      <c r="BU184" s="23">
        <v>20</v>
      </c>
      <c r="BV184" s="24">
        <v>8026</v>
      </c>
      <c r="BW184" s="23">
        <v>485</v>
      </c>
      <c r="BX184" s="24">
        <v>7927</v>
      </c>
      <c r="BY184" s="23">
        <v>486</v>
      </c>
      <c r="BZ184" s="24">
        <v>99</v>
      </c>
      <c r="CA184" s="23">
        <v>61</v>
      </c>
      <c r="CB184" s="24">
        <v>1187</v>
      </c>
      <c r="CC184" s="23">
        <v>192</v>
      </c>
      <c r="CD184" s="24">
        <v>1187</v>
      </c>
      <c r="CE184" s="23">
        <v>192</v>
      </c>
      <c r="CF184" s="24">
        <v>0</v>
      </c>
      <c r="CG184" s="20">
        <v>19</v>
      </c>
    </row>
    <row r="185" spans="1:85" x14ac:dyDescent="0.3">
      <c r="A185" t="s">
        <v>369</v>
      </c>
      <c r="B185">
        <v>21051</v>
      </c>
      <c r="C185" t="s">
        <v>370</v>
      </c>
      <c r="D185" s="19">
        <v>388</v>
      </c>
      <c r="E185" s="20">
        <v>129</v>
      </c>
      <c r="F185" s="19">
        <v>8</v>
      </c>
      <c r="G185" s="23">
        <v>25</v>
      </c>
      <c r="H185" s="24">
        <v>0</v>
      </c>
      <c r="I185" s="23">
        <v>24</v>
      </c>
      <c r="J185" s="24">
        <v>0</v>
      </c>
      <c r="K185" s="23">
        <v>24</v>
      </c>
      <c r="L185" s="24">
        <v>0</v>
      </c>
      <c r="M185" s="23">
        <v>24</v>
      </c>
      <c r="N185" s="24">
        <v>0</v>
      </c>
      <c r="O185" s="23">
        <v>24</v>
      </c>
      <c r="P185" s="24">
        <v>0</v>
      </c>
      <c r="Q185" s="23">
        <v>24</v>
      </c>
      <c r="R185" s="24">
        <v>0</v>
      </c>
      <c r="S185" s="23">
        <v>24</v>
      </c>
      <c r="T185" s="24">
        <v>8</v>
      </c>
      <c r="U185" s="23">
        <v>25</v>
      </c>
      <c r="V185" s="24">
        <v>8</v>
      </c>
      <c r="W185" s="23">
        <v>25</v>
      </c>
      <c r="X185" s="24">
        <v>0</v>
      </c>
      <c r="Y185" s="20">
        <v>24</v>
      </c>
      <c r="Z185" s="19">
        <v>18</v>
      </c>
      <c r="AA185" s="23">
        <v>29</v>
      </c>
      <c r="AB185" s="24">
        <v>0</v>
      </c>
      <c r="AC185" s="23">
        <v>12</v>
      </c>
      <c r="AD185" s="24">
        <v>0</v>
      </c>
      <c r="AE185" s="23">
        <v>12</v>
      </c>
      <c r="AF185" s="24">
        <v>0</v>
      </c>
      <c r="AG185" s="23">
        <v>12</v>
      </c>
      <c r="AH185" s="24">
        <v>0</v>
      </c>
      <c r="AI185" s="23">
        <v>12</v>
      </c>
      <c r="AJ185" s="24">
        <v>0</v>
      </c>
      <c r="AK185" s="23">
        <v>12</v>
      </c>
      <c r="AL185" s="24">
        <v>0</v>
      </c>
      <c r="AM185" s="23">
        <v>12</v>
      </c>
      <c r="AN185" s="24">
        <v>18</v>
      </c>
      <c r="AO185" s="23">
        <v>29</v>
      </c>
      <c r="AP185" s="24">
        <v>18</v>
      </c>
      <c r="AQ185" s="23">
        <v>29</v>
      </c>
      <c r="AR185" s="24">
        <v>0</v>
      </c>
      <c r="AS185" s="20">
        <v>12</v>
      </c>
      <c r="AT185" s="19">
        <v>36</v>
      </c>
      <c r="AU185" s="23">
        <v>39</v>
      </c>
      <c r="AV185" s="24">
        <v>0</v>
      </c>
      <c r="AW185" s="23">
        <v>12</v>
      </c>
      <c r="AX185" s="24">
        <v>0</v>
      </c>
      <c r="AY185" s="23">
        <v>12</v>
      </c>
      <c r="AZ185" s="24">
        <v>0</v>
      </c>
      <c r="BA185" s="23">
        <v>12</v>
      </c>
      <c r="BB185" s="24">
        <v>20</v>
      </c>
      <c r="BC185" s="23">
        <v>22</v>
      </c>
      <c r="BD185" s="24">
        <v>20</v>
      </c>
      <c r="BE185" s="23">
        <v>22</v>
      </c>
      <c r="BF185" s="24">
        <v>0</v>
      </c>
      <c r="BG185" s="23">
        <v>12</v>
      </c>
      <c r="BH185" s="24">
        <v>16</v>
      </c>
      <c r="BI185" s="23">
        <v>18</v>
      </c>
      <c r="BJ185" s="24">
        <v>16</v>
      </c>
      <c r="BK185" s="23">
        <v>18</v>
      </c>
      <c r="BL185" s="24">
        <v>0</v>
      </c>
      <c r="BM185" s="20">
        <v>12</v>
      </c>
      <c r="BN185" s="19">
        <v>326</v>
      </c>
      <c r="BO185" s="23">
        <v>142</v>
      </c>
      <c r="BP185" s="24">
        <v>83</v>
      </c>
      <c r="BQ185" s="23">
        <v>66</v>
      </c>
      <c r="BR185" s="24">
        <v>83</v>
      </c>
      <c r="BS185" s="23">
        <v>66</v>
      </c>
      <c r="BT185" s="26">
        <v>0</v>
      </c>
      <c r="BU185" s="23">
        <v>12</v>
      </c>
      <c r="BV185" s="24">
        <v>185</v>
      </c>
      <c r="BW185" s="23">
        <v>82</v>
      </c>
      <c r="BX185" s="24">
        <v>185</v>
      </c>
      <c r="BY185" s="23">
        <v>82</v>
      </c>
      <c r="BZ185" s="24">
        <v>0</v>
      </c>
      <c r="CA185" s="23">
        <v>12</v>
      </c>
      <c r="CB185" s="24">
        <v>58</v>
      </c>
      <c r="CC185" s="23">
        <v>55</v>
      </c>
      <c r="CD185" s="24">
        <v>58</v>
      </c>
      <c r="CE185" s="23">
        <v>55</v>
      </c>
      <c r="CF185" s="24">
        <v>0</v>
      </c>
      <c r="CG185" s="20">
        <v>12</v>
      </c>
    </row>
    <row r="186" spans="1:85" x14ac:dyDescent="0.3">
      <c r="A186" t="s">
        <v>371</v>
      </c>
      <c r="B186">
        <v>21052</v>
      </c>
      <c r="C186" t="s">
        <v>372</v>
      </c>
      <c r="D186" s="19">
        <v>257</v>
      </c>
      <c r="E186" s="20">
        <v>119</v>
      </c>
      <c r="F186" s="19">
        <v>6</v>
      </c>
      <c r="G186" s="23">
        <v>21</v>
      </c>
      <c r="H186" s="24">
        <v>0</v>
      </c>
      <c r="I186" s="23">
        <v>24</v>
      </c>
      <c r="J186" s="24">
        <v>0</v>
      </c>
      <c r="K186" s="23">
        <v>24</v>
      </c>
      <c r="L186" s="24">
        <v>0</v>
      </c>
      <c r="M186" s="23">
        <v>24</v>
      </c>
      <c r="N186" s="24">
        <v>0</v>
      </c>
      <c r="O186" s="23">
        <v>24</v>
      </c>
      <c r="P186" s="24">
        <v>0</v>
      </c>
      <c r="Q186" s="23">
        <v>24</v>
      </c>
      <c r="R186" s="24">
        <v>0</v>
      </c>
      <c r="S186" s="23">
        <v>24</v>
      </c>
      <c r="T186" s="24">
        <v>6</v>
      </c>
      <c r="U186" s="23">
        <v>21</v>
      </c>
      <c r="V186" s="24">
        <v>6</v>
      </c>
      <c r="W186" s="23">
        <v>21</v>
      </c>
      <c r="X186" s="24">
        <v>0</v>
      </c>
      <c r="Y186" s="20">
        <v>24</v>
      </c>
      <c r="Z186" s="19">
        <v>91</v>
      </c>
      <c r="AA186" s="23">
        <v>105</v>
      </c>
      <c r="AB186" s="24">
        <v>33</v>
      </c>
      <c r="AC186" s="23">
        <v>54</v>
      </c>
      <c r="AD186" s="24">
        <v>0</v>
      </c>
      <c r="AE186" s="23">
        <v>12</v>
      </c>
      <c r="AF186" s="24">
        <v>33</v>
      </c>
      <c r="AG186" s="23">
        <v>54</v>
      </c>
      <c r="AH186" s="24">
        <v>43</v>
      </c>
      <c r="AI186" s="23">
        <v>59</v>
      </c>
      <c r="AJ186" s="24">
        <v>7</v>
      </c>
      <c r="AK186" s="23">
        <v>10</v>
      </c>
      <c r="AL186" s="24">
        <v>36</v>
      </c>
      <c r="AM186" s="23">
        <v>57</v>
      </c>
      <c r="AN186" s="24">
        <v>15</v>
      </c>
      <c r="AO186" s="23">
        <v>15</v>
      </c>
      <c r="AP186" s="24">
        <v>15</v>
      </c>
      <c r="AQ186" s="23">
        <v>15</v>
      </c>
      <c r="AR186" s="24">
        <v>0</v>
      </c>
      <c r="AS186" s="20">
        <v>12</v>
      </c>
      <c r="AT186" s="19">
        <v>22</v>
      </c>
      <c r="AU186" s="23">
        <v>26</v>
      </c>
      <c r="AV186" s="24">
        <v>5</v>
      </c>
      <c r="AW186" s="23">
        <v>9</v>
      </c>
      <c r="AX186" s="24">
        <v>5</v>
      </c>
      <c r="AY186" s="23">
        <v>9</v>
      </c>
      <c r="AZ186" s="24">
        <v>0</v>
      </c>
      <c r="BA186" s="23">
        <v>12</v>
      </c>
      <c r="BB186" s="24">
        <v>0</v>
      </c>
      <c r="BC186" s="23">
        <v>12</v>
      </c>
      <c r="BD186" s="24">
        <v>0</v>
      </c>
      <c r="BE186" s="23">
        <v>12</v>
      </c>
      <c r="BF186" s="24">
        <v>0</v>
      </c>
      <c r="BG186" s="23">
        <v>12</v>
      </c>
      <c r="BH186" s="24">
        <v>17</v>
      </c>
      <c r="BI186" s="23">
        <v>18</v>
      </c>
      <c r="BJ186" s="24">
        <v>17</v>
      </c>
      <c r="BK186" s="23">
        <v>18</v>
      </c>
      <c r="BL186" s="24">
        <v>0</v>
      </c>
      <c r="BM186" s="20">
        <v>12</v>
      </c>
      <c r="BN186" s="19">
        <v>138</v>
      </c>
      <c r="BO186" s="23">
        <v>57</v>
      </c>
      <c r="BP186" s="24">
        <v>16</v>
      </c>
      <c r="BQ186" s="23">
        <v>16</v>
      </c>
      <c r="BR186" s="24">
        <v>16</v>
      </c>
      <c r="BS186" s="23">
        <v>16</v>
      </c>
      <c r="BT186" s="26">
        <v>0</v>
      </c>
      <c r="BU186" s="23">
        <v>12</v>
      </c>
      <c r="BV186" s="24">
        <v>116</v>
      </c>
      <c r="BW186" s="23">
        <v>54</v>
      </c>
      <c r="BX186" s="24">
        <v>100</v>
      </c>
      <c r="BY186" s="23">
        <v>50</v>
      </c>
      <c r="BZ186" s="24">
        <v>16</v>
      </c>
      <c r="CA186" s="23">
        <v>24</v>
      </c>
      <c r="CB186" s="24">
        <v>6</v>
      </c>
      <c r="CC186" s="23">
        <v>8</v>
      </c>
      <c r="CD186" s="24">
        <v>6</v>
      </c>
      <c r="CE186" s="23">
        <v>8</v>
      </c>
      <c r="CF186" s="24">
        <v>0</v>
      </c>
      <c r="CG186" s="20">
        <v>12</v>
      </c>
    </row>
    <row r="187" spans="1:85" x14ac:dyDescent="0.3">
      <c r="A187" t="s">
        <v>373</v>
      </c>
      <c r="B187">
        <v>21053</v>
      </c>
      <c r="C187" t="s">
        <v>374</v>
      </c>
      <c r="D187" s="19">
        <v>3559</v>
      </c>
      <c r="E187" s="20">
        <v>456</v>
      </c>
      <c r="F187" s="19">
        <v>227</v>
      </c>
      <c r="G187" s="23">
        <v>127</v>
      </c>
      <c r="H187" s="24">
        <v>17</v>
      </c>
      <c r="I187" s="23">
        <v>38</v>
      </c>
      <c r="J187" s="24">
        <v>0</v>
      </c>
      <c r="K187" s="23">
        <v>24</v>
      </c>
      <c r="L187" s="24">
        <v>17</v>
      </c>
      <c r="M187" s="23">
        <v>38</v>
      </c>
      <c r="N187" s="24">
        <v>95</v>
      </c>
      <c r="O187" s="23">
        <v>102</v>
      </c>
      <c r="P187" s="24">
        <v>42</v>
      </c>
      <c r="Q187" s="23">
        <v>65</v>
      </c>
      <c r="R187" s="24">
        <v>53</v>
      </c>
      <c r="S187" s="23">
        <v>84</v>
      </c>
      <c r="T187" s="24">
        <v>115</v>
      </c>
      <c r="U187" s="23">
        <v>124</v>
      </c>
      <c r="V187" s="24">
        <v>115</v>
      </c>
      <c r="W187" s="23">
        <v>124</v>
      </c>
      <c r="X187" s="24">
        <v>0</v>
      </c>
      <c r="Y187" s="20">
        <v>24</v>
      </c>
      <c r="Z187" s="19">
        <v>226</v>
      </c>
      <c r="AA187" s="23">
        <v>223</v>
      </c>
      <c r="AB187" s="24">
        <v>76</v>
      </c>
      <c r="AC187" s="23">
        <v>89</v>
      </c>
      <c r="AD187" s="24">
        <v>76</v>
      </c>
      <c r="AE187" s="23">
        <v>89</v>
      </c>
      <c r="AF187" s="24">
        <v>0</v>
      </c>
      <c r="AG187" s="23">
        <v>12</v>
      </c>
      <c r="AH187" s="24">
        <v>130</v>
      </c>
      <c r="AI187" s="23">
        <v>160</v>
      </c>
      <c r="AJ187" s="24">
        <v>130</v>
      </c>
      <c r="AK187" s="23">
        <v>160</v>
      </c>
      <c r="AL187" s="24">
        <v>0</v>
      </c>
      <c r="AM187" s="23">
        <v>12</v>
      </c>
      <c r="AN187" s="24">
        <v>20</v>
      </c>
      <c r="AO187" s="23">
        <v>30</v>
      </c>
      <c r="AP187" s="24">
        <v>20</v>
      </c>
      <c r="AQ187" s="23">
        <v>30</v>
      </c>
      <c r="AR187" s="24">
        <v>0</v>
      </c>
      <c r="AS187" s="20">
        <v>12</v>
      </c>
      <c r="AT187" s="19">
        <v>1083</v>
      </c>
      <c r="AU187" s="23">
        <v>424</v>
      </c>
      <c r="AV187" s="24">
        <v>257</v>
      </c>
      <c r="AW187" s="23">
        <v>165</v>
      </c>
      <c r="AX187" s="24">
        <v>238</v>
      </c>
      <c r="AY187" s="23">
        <v>164</v>
      </c>
      <c r="AZ187" s="24">
        <v>19</v>
      </c>
      <c r="BA187" s="23">
        <v>30</v>
      </c>
      <c r="BB187" s="24">
        <v>636</v>
      </c>
      <c r="BC187" s="23">
        <v>318</v>
      </c>
      <c r="BD187" s="24">
        <v>455</v>
      </c>
      <c r="BE187" s="23">
        <v>195</v>
      </c>
      <c r="BF187" s="24">
        <v>181</v>
      </c>
      <c r="BG187" s="23">
        <v>176</v>
      </c>
      <c r="BH187" s="24">
        <v>190</v>
      </c>
      <c r="BI187" s="23">
        <v>110</v>
      </c>
      <c r="BJ187" s="24">
        <v>190</v>
      </c>
      <c r="BK187" s="23">
        <v>110</v>
      </c>
      <c r="BL187" s="24">
        <v>0</v>
      </c>
      <c r="BM187" s="20">
        <v>12</v>
      </c>
      <c r="BN187" s="19">
        <v>2023</v>
      </c>
      <c r="BO187" s="23">
        <v>373</v>
      </c>
      <c r="BP187" s="24">
        <v>371</v>
      </c>
      <c r="BQ187" s="23">
        <v>118</v>
      </c>
      <c r="BR187" s="24">
        <v>371</v>
      </c>
      <c r="BS187" s="23">
        <v>118</v>
      </c>
      <c r="BT187" s="26">
        <v>0</v>
      </c>
      <c r="BU187" s="23">
        <v>12</v>
      </c>
      <c r="BV187" s="24">
        <v>1310</v>
      </c>
      <c r="BW187" s="23">
        <v>282</v>
      </c>
      <c r="BX187" s="24">
        <v>1193</v>
      </c>
      <c r="BY187" s="23">
        <v>254</v>
      </c>
      <c r="BZ187" s="24">
        <v>117</v>
      </c>
      <c r="CA187" s="23">
        <v>88</v>
      </c>
      <c r="CB187" s="24">
        <v>342</v>
      </c>
      <c r="CC187" s="23">
        <v>129</v>
      </c>
      <c r="CD187" s="24">
        <v>342</v>
      </c>
      <c r="CE187" s="23">
        <v>129</v>
      </c>
      <c r="CF187" s="24">
        <v>0</v>
      </c>
      <c r="CG187" s="20">
        <v>12</v>
      </c>
    </row>
    <row r="188" spans="1:85" x14ac:dyDescent="0.3">
      <c r="A188" t="s">
        <v>375</v>
      </c>
      <c r="B188">
        <v>21054</v>
      </c>
      <c r="C188" t="s">
        <v>376</v>
      </c>
      <c r="D188" s="19">
        <v>10159</v>
      </c>
      <c r="E188" s="20">
        <v>810</v>
      </c>
      <c r="F188" s="19">
        <v>672</v>
      </c>
      <c r="G188" s="23">
        <v>329</v>
      </c>
      <c r="H188" s="24">
        <v>189</v>
      </c>
      <c r="I188" s="23">
        <v>193</v>
      </c>
      <c r="J188" s="24">
        <v>176</v>
      </c>
      <c r="K188" s="23">
        <v>191</v>
      </c>
      <c r="L188" s="24">
        <v>13</v>
      </c>
      <c r="M188" s="23">
        <v>37</v>
      </c>
      <c r="N188" s="24">
        <v>340</v>
      </c>
      <c r="O188" s="23">
        <v>158</v>
      </c>
      <c r="P188" s="24">
        <v>297</v>
      </c>
      <c r="Q188" s="23">
        <v>152</v>
      </c>
      <c r="R188" s="24">
        <v>43</v>
      </c>
      <c r="S188" s="23">
        <v>60</v>
      </c>
      <c r="T188" s="24">
        <v>143</v>
      </c>
      <c r="U188" s="23">
        <v>119</v>
      </c>
      <c r="V188" s="24">
        <v>143</v>
      </c>
      <c r="W188" s="23">
        <v>119</v>
      </c>
      <c r="X188" s="24">
        <v>0</v>
      </c>
      <c r="Y188" s="20">
        <v>38</v>
      </c>
      <c r="Z188" s="19">
        <v>265</v>
      </c>
      <c r="AA188" s="23">
        <v>110</v>
      </c>
      <c r="AB188" s="24">
        <v>48</v>
      </c>
      <c r="AC188" s="23">
        <v>47</v>
      </c>
      <c r="AD188" s="24">
        <v>48</v>
      </c>
      <c r="AE188" s="23">
        <v>47</v>
      </c>
      <c r="AF188" s="24">
        <v>0</v>
      </c>
      <c r="AG188" s="23">
        <v>19</v>
      </c>
      <c r="AH188" s="24">
        <v>94</v>
      </c>
      <c r="AI188" s="23">
        <v>49</v>
      </c>
      <c r="AJ188" s="24">
        <v>83</v>
      </c>
      <c r="AK188" s="23">
        <v>49</v>
      </c>
      <c r="AL188" s="24">
        <v>11</v>
      </c>
      <c r="AM188" s="23">
        <v>17</v>
      </c>
      <c r="AN188" s="24">
        <v>123</v>
      </c>
      <c r="AO188" s="23">
        <v>82</v>
      </c>
      <c r="AP188" s="24">
        <v>123</v>
      </c>
      <c r="AQ188" s="23">
        <v>82</v>
      </c>
      <c r="AR188" s="24">
        <v>0</v>
      </c>
      <c r="AS188" s="20">
        <v>19</v>
      </c>
      <c r="AT188" s="19">
        <v>1833</v>
      </c>
      <c r="AU188" s="23">
        <v>493</v>
      </c>
      <c r="AV188" s="24">
        <v>471</v>
      </c>
      <c r="AW188" s="23">
        <v>251</v>
      </c>
      <c r="AX188" s="24">
        <v>471</v>
      </c>
      <c r="AY188" s="23">
        <v>251</v>
      </c>
      <c r="AZ188" s="24">
        <v>0</v>
      </c>
      <c r="BA188" s="23">
        <v>19</v>
      </c>
      <c r="BB188" s="24">
        <v>816</v>
      </c>
      <c r="BC188" s="23">
        <v>230</v>
      </c>
      <c r="BD188" s="24">
        <v>766</v>
      </c>
      <c r="BE188" s="23">
        <v>214</v>
      </c>
      <c r="BF188" s="24">
        <v>50</v>
      </c>
      <c r="BG188" s="23">
        <v>39</v>
      </c>
      <c r="BH188" s="24">
        <v>546</v>
      </c>
      <c r="BI188" s="23">
        <v>163</v>
      </c>
      <c r="BJ188" s="24">
        <v>546</v>
      </c>
      <c r="BK188" s="23">
        <v>163</v>
      </c>
      <c r="BL188" s="24">
        <v>0</v>
      </c>
      <c r="BM188" s="20">
        <v>19</v>
      </c>
      <c r="BN188" s="19">
        <v>7389</v>
      </c>
      <c r="BO188" s="23">
        <v>759</v>
      </c>
      <c r="BP188" s="24">
        <v>1713</v>
      </c>
      <c r="BQ188" s="23">
        <v>370</v>
      </c>
      <c r="BR188" s="24">
        <v>1704</v>
      </c>
      <c r="BS188" s="23">
        <v>369</v>
      </c>
      <c r="BT188" s="26">
        <v>9</v>
      </c>
      <c r="BU188" s="23">
        <v>14</v>
      </c>
      <c r="BV188" s="24">
        <v>4476</v>
      </c>
      <c r="BW188" s="23">
        <v>463</v>
      </c>
      <c r="BX188" s="24">
        <v>4308</v>
      </c>
      <c r="BY188" s="23">
        <v>435</v>
      </c>
      <c r="BZ188" s="24">
        <v>168</v>
      </c>
      <c r="CA188" s="23">
        <v>166</v>
      </c>
      <c r="CB188" s="24">
        <v>1200</v>
      </c>
      <c r="CC188" s="23">
        <v>288</v>
      </c>
      <c r="CD188" s="24">
        <v>1200</v>
      </c>
      <c r="CE188" s="23">
        <v>288</v>
      </c>
      <c r="CF188" s="24">
        <v>0</v>
      </c>
      <c r="CG188" s="20">
        <v>19</v>
      </c>
    </row>
    <row r="189" spans="1:85" x14ac:dyDescent="0.3">
      <c r="A189" t="s">
        <v>377</v>
      </c>
      <c r="B189">
        <v>21056</v>
      </c>
      <c r="C189" t="s">
        <v>378</v>
      </c>
      <c r="D189" s="19">
        <v>219</v>
      </c>
      <c r="E189" s="20">
        <v>160</v>
      </c>
      <c r="F189" s="19">
        <v>0</v>
      </c>
      <c r="G189" s="23">
        <v>24</v>
      </c>
      <c r="H189" s="24">
        <v>0</v>
      </c>
      <c r="I189" s="23">
        <v>24</v>
      </c>
      <c r="J189" s="24">
        <v>0</v>
      </c>
      <c r="K189" s="23">
        <v>24</v>
      </c>
      <c r="L189" s="24">
        <v>0</v>
      </c>
      <c r="M189" s="23">
        <v>24</v>
      </c>
      <c r="N189" s="24">
        <v>0</v>
      </c>
      <c r="O189" s="23">
        <v>24</v>
      </c>
      <c r="P189" s="24">
        <v>0</v>
      </c>
      <c r="Q189" s="23">
        <v>24</v>
      </c>
      <c r="R189" s="24">
        <v>0</v>
      </c>
      <c r="S189" s="23">
        <v>24</v>
      </c>
      <c r="T189" s="24">
        <v>0</v>
      </c>
      <c r="U189" s="23">
        <v>24</v>
      </c>
      <c r="V189" s="24">
        <v>0</v>
      </c>
      <c r="W189" s="23">
        <v>24</v>
      </c>
      <c r="X189" s="24">
        <v>0</v>
      </c>
      <c r="Y189" s="20">
        <v>24</v>
      </c>
      <c r="Z189" s="19">
        <v>0</v>
      </c>
      <c r="AA189" s="23">
        <v>12</v>
      </c>
      <c r="AB189" s="24">
        <v>0</v>
      </c>
      <c r="AC189" s="23">
        <v>12</v>
      </c>
      <c r="AD189" s="24">
        <v>0</v>
      </c>
      <c r="AE189" s="23">
        <v>12</v>
      </c>
      <c r="AF189" s="24">
        <v>0</v>
      </c>
      <c r="AG189" s="23">
        <v>12</v>
      </c>
      <c r="AH189" s="24">
        <v>0</v>
      </c>
      <c r="AI189" s="23">
        <v>12</v>
      </c>
      <c r="AJ189" s="24">
        <v>0</v>
      </c>
      <c r="AK189" s="23">
        <v>12</v>
      </c>
      <c r="AL189" s="24">
        <v>0</v>
      </c>
      <c r="AM189" s="23">
        <v>12</v>
      </c>
      <c r="AN189" s="24">
        <v>0</v>
      </c>
      <c r="AO189" s="23">
        <v>12</v>
      </c>
      <c r="AP189" s="24">
        <v>0</v>
      </c>
      <c r="AQ189" s="23">
        <v>12</v>
      </c>
      <c r="AR189" s="24">
        <v>0</v>
      </c>
      <c r="AS189" s="20">
        <v>12</v>
      </c>
      <c r="AT189" s="19">
        <v>29</v>
      </c>
      <c r="AU189" s="23">
        <v>32</v>
      </c>
      <c r="AV189" s="24">
        <v>0</v>
      </c>
      <c r="AW189" s="23">
        <v>12</v>
      </c>
      <c r="AX189" s="24">
        <v>0</v>
      </c>
      <c r="AY189" s="23">
        <v>12</v>
      </c>
      <c r="AZ189" s="24">
        <v>0</v>
      </c>
      <c r="BA189" s="23">
        <v>12</v>
      </c>
      <c r="BB189" s="24">
        <v>0</v>
      </c>
      <c r="BC189" s="23">
        <v>12</v>
      </c>
      <c r="BD189" s="24">
        <v>0</v>
      </c>
      <c r="BE189" s="23">
        <v>12</v>
      </c>
      <c r="BF189" s="24">
        <v>0</v>
      </c>
      <c r="BG189" s="23">
        <v>12</v>
      </c>
      <c r="BH189" s="24">
        <v>29</v>
      </c>
      <c r="BI189" s="23">
        <v>32</v>
      </c>
      <c r="BJ189" s="24">
        <v>29</v>
      </c>
      <c r="BK189" s="23">
        <v>32</v>
      </c>
      <c r="BL189" s="24">
        <v>0</v>
      </c>
      <c r="BM189" s="20">
        <v>12</v>
      </c>
      <c r="BN189" s="19">
        <v>190</v>
      </c>
      <c r="BO189" s="23">
        <v>157</v>
      </c>
      <c r="BP189" s="24">
        <v>0</v>
      </c>
      <c r="BQ189" s="23">
        <v>12</v>
      </c>
      <c r="BR189" s="24">
        <v>0</v>
      </c>
      <c r="BS189" s="23">
        <v>12</v>
      </c>
      <c r="BT189" s="26">
        <v>0</v>
      </c>
      <c r="BU189" s="23">
        <v>12</v>
      </c>
      <c r="BV189" s="24">
        <v>158</v>
      </c>
      <c r="BW189" s="23">
        <v>149</v>
      </c>
      <c r="BX189" s="24">
        <v>158</v>
      </c>
      <c r="BY189" s="23">
        <v>149</v>
      </c>
      <c r="BZ189" s="24">
        <v>0</v>
      </c>
      <c r="CA189" s="23">
        <v>12</v>
      </c>
      <c r="CB189" s="24">
        <v>32</v>
      </c>
      <c r="CC189" s="23">
        <v>50</v>
      </c>
      <c r="CD189" s="24">
        <v>32</v>
      </c>
      <c r="CE189" s="23">
        <v>50</v>
      </c>
      <c r="CF189" s="24">
        <v>0</v>
      </c>
      <c r="CG189" s="20">
        <v>12</v>
      </c>
    </row>
    <row r="190" spans="1:85" x14ac:dyDescent="0.3">
      <c r="A190" t="s">
        <v>379</v>
      </c>
      <c r="B190">
        <v>21057</v>
      </c>
      <c r="C190" t="s">
        <v>380</v>
      </c>
      <c r="D190" s="19">
        <v>3825</v>
      </c>
      <c r="E190" s="20">
        <v>362</v>
      </c>
      <c r="F190" s="19">
        <v>131</v>
      </c>
      <c r="G190" s="23">
        <v>88</v>
      </c>
      <c r="H190" s="24">
        <v>22</v>
      </c>
      <c r="I190" s="23">
        <v>37</v>
      </c>
      <c r="J190" s="24">
        <v>12</v>
      </c>
      <c r="K190" s="23">
        <v>30</v>
      </c>
      <c r="L190" s="24">
        <v>10</v>
      </c>
      <c r="M190" s="23">
        <v>29</v>
      </c>
      <c r="N190" s="24">
        <v>55</v>
      </c>
      <c r="O190" s="23">
        <v>57</v>
      </c>
      <c r="P190" s="24">
        <v>55</v>
      </c>
      <c r="Q190" s="23">
        <v>57</v>
      </c>
      <c r="R190" s="24">
        <v>0</v>
      </c>
      <c r="S190" s="23">
        <v>24</v>
      </c>
      <c r="T190" s="24">
        <v>54</v>
      </c>
      <c r="U190" s="23">
        <v>54</v>
      </c>
      <c r="V190" s="24">
        <v>54</v>
      </c>
      <c r="W190" s="23">
        <v>54</v>
      </c>
      <c r="X190" s="24">
        <v>0</v>
      </c>
      <c r="Y190" s="20">
        <v>24</v>
      </c>
      <c r="Z190" s="19">
        <v>184</v>
      </c>
      <c r="AA190" s="23">
        <v>95</v>
      </c>
      <c r="AB190" s="24">
        <v>31</v>
      </c>
      <c r="AC190" s="23">
        <v>39</v>
      </c>
      <c r="AD190" s="24">
        <v>31</v>
      </c>
      <c r="AE190" s="23">
        <v>39</v>
      </c>
      <c r="AF190" s="24">
        <v>0</v>
      </c>
      <c r="AG190" s="23">
        <v>12</v>
      </c>
      <c r="AH190" s="24">
        <v>45</v>
      </c>
      <c r="AI190" s="23">
        <v>39</v>
      </c>
      <c r="AJ190" s="24">
        <v>45</v>
      </c>
      <c r="AK190" s="23">
        <v>39</v>
      </c>
      <c r="AL190" s="24">
        <v>0</v>
      </c>
      <c r="AM190" s="23">
        <v>12</v>
      </c>
      <c r="AN190" s="24">
        <v>108</v>
      </c>
      <c r="AO190" s="23">
        <v>63</v>
      </c>
      <c r="AP190" s="24">
        <v>108</v>
      </c>
      <c r="AQ190" s="23">
        <v>63</v>
      </c>
      <c r="AR190" s="24">
        <v>0</v>
      </c>
      <c r="AS190" s="20">
        <v>12</v>
      </c>
      <c r="AT190" s="19">
        <v>645</v>
      </c>
      <c r="AU190" s="23">
        <v>233</v>
      </c>
      <c r="AV190" s="24">
        <v>126</v>
      </c>
      <c r="AW190" s="23">
        <v>127</v>
      </c>
      <c r="AX190" s="24">
        <v>126</v>
      </c>
      <c r="AY190" s="23">
        <v>127</v>
      </c>
      <c r="AZ190" s="24">
        <v>0</v>
      </c>
      <c r="BA190" s="23">
        <v>12</v>
      </c>
      <c r="BB190" s="24">
        <v>296</v>
      </c>
      <c r="BC190" s="23">
        <v>127</v>
      </c>
      <c r="BD190" s="24">
        <v>296</v>
      </c>
      <c r="BE190" s="23">
        <v>127</v>
      </c>
      <c r="BF190" s="24">
        <v>0</v>
      </c>
      <c r="BG190" s="23">
        <v>12</v>
      </c>
      <c r="BH190" s="24">
        <v>223</v>
      </c>
      <c r="BI190" s="23">
        <v>82</v>
      </c>
      <c r="BJ190" s="24">
        <v>223</v>
      </c>
      <c r="BK190" s="23">
        <v>82</v>
      </c>
      <c r="BL190" s="24">
        <v>0</v>
      </c>
      <c r="BM190" s="20">
        <v>12</v>
      </c>
      <c r="BN190" s="19">
        <v>2865</v>
      </c>
      <c r="BO190" s="23">
        <v>375</v>
      </c>
      <c r="BP190" s="24">
        <v>445</v>
      </c>
      <c r="BQ190" s="23">
        <v>132</v>
      </c>
      <c r="BR190" s="24">
        <v>445</v>
      </c>
      <c r="BS190" s="23">
        <v>132</v>
      </c>
      <c r="BT190" s="26">
        <v>0</v>
      </c>
      <c r="BU190" s="23">
        <v>12</v>
      </c>
      <c r="BV190" s="24">
        <v>1774</v>
      </c>
      <c r="BW190" s="23">
        <v>297</v>
      </c>
      <c r="BX190" s="24">
        <v>1729</v>
      </c>
      <c r="BY190" s="23">
        <v>296</v>
      </c>
      <c r="BZ190" s="24">
        <v>45</v>
      </c>
      <c r="CA190" s="23">
        <v>39</v>
      </c>
      <c r="CB190" s="24">
        <v>646</v>
      </c>
      <c r="CC190" s="23">
        <v>142</v>
      </c>
      <c r="CD190" s="24">
        <v>646</v>
      </c>
      <c r="CE190" s="23">
        <v>142</v>
      </c>
      <c r="CF190" s="24">
        <v>0</v>
      </c>
      <c r="CG190" s="20">
        <v>12</v>
      </c>
    </row>
    <row r="191" spans="1:85" x14ac:dyDescent="0.3">
      <c r="A191" t="s">
        <v>381</v>
      </c>
      <c r="B191">
        <v>21060</v>
      </c>
      <c r="C191" t="s">
        <v>382</v>
      </c>
      <c r="D191" s="19">
        <v>32228</v>
      </c>
      <c r="E191" s="20">
        <v>1296</v>
      </c>
      <c r="F191" s="19">
        <v>4554</v>
      </c>
      <c r="G191" s="23">
        <v>1179</v>
      </c>
      <c r="H191" s="24">
        <v>1265</v>
      </c>
      <c r="I191" s="23">
        <v>584</v>
      </c>
      <c r="J191" s="24">
        <v>1261</v>
      </c>
      <c r="K191" s="23">
        <v>583</v>
      </c>
      <c r="L191" s="24">
        <v>4</v>
      </c>
      <c r="M191" s="23">
        <v>33</v>
      </c>
      <c r="N191" s="24">
        <v>2484</v>
      </c>
      <c r="O191" s="23">
        <v>699</v>
      </c>
      <c r="P191" s="24">
        <v>2193</v>
      </c>
      <c r="Q191" s="23">
        <v>671</v>
      </c>
      <c r="R191" s="24">
        <v>291</v>
      </c>
      <c r="S191" s="23">
        <v>182</v>
      </c>
      <c r="T191" s="24">
        <v>805</v>
      </c>
      <c r="U191" s="23">
        <v>280</v>
      </c>
      <c r="V191" s="24">
        <v>805</v>
      </c>
      <c r="W191" s="23">
        <v>280</v>
      </c>
      <c r="X191" s="24">
        <v>0</v>
      </c>
      <c r="Y191" s="20">
        <v>50</v>
      </c>
      <c r="Z191" s="19">
        <v>3027</v>
      </c>
      <c r="AA191" s="23">
        <v>757</v>
      </c>
      <c r="AB191" s="24">
        <v>1155</v>
      </c>
      <c r="AC191" s="23">
        <v>354</v>
      </c>
      <c r="AD191" s="24">
        <v>1077</v>
      </c>
      <c r="AE191" s="23">
        <v>320</v>
      </c>
      <c r="AF191" s="24">
        <v>78</v>
      </c>
      <c r="AG191" s="23">
        <v>72</v>
      </c>
      <c r="AH191" s="24">
        <v>1405</v>
      </c>
      <c r="AI191" s="23">
        <v>373</v>
      </c>
      <c r="AJ191" s="24">
        <v>919</v>
      </c>
      <c r="AK191" s="23">
        <v>242</v>
      </c>
      <c r="AL191" s="24">
        <v>486</v>
      </c>
      <c r="AM191" s="23">
        <v>250</v>
      </c>
      <c r="AN191" s="24">
        <v>467</v>
      </c>
      <c r="AO191" s="23">
        <v>173</v>
      </c>
      <c r="AP191" s="24">
        <v>467</v>
      </c>
      <c r="AQ191" s="23">
        <v>173</v>
      </c>
      <c r="AR191" s="24">
        <v>0</v>
      </c>
      <c r="AS191" s="20">
        <v>25</v>
      </c>
      <c r="AT191" s="19">
        <v>10198</v>
      </c>
      <c r="AU191" s="23">
        <v>1211</v>
      </c>
      <c r="AV191" s="24">
        <v>2373</v>
      </c>
      <c r="AW191" s="23">
        <v>518</v>
      </c>
      <c r="AX191" s="24">
        <v>2177</v>
      </c>
      <c r="AY191" s="23">
        <v>499</v>
      </c>
      <c r="AZ191" s="24">
        <v>196</v>
      </c>
      <c r="BA191" s="23">
        <v>94</v>
      </c>
      <c r="BB191" s="24">
        <v>6020</v>
      </c>
      <c r="BC191" s="23">
        <v>865</v>
      </c>
      <c r="BD191" s="24">
        <v>5138</v>
      </c>
      <c r="BE191" s="23">
        <v>784</v>
      </c>
      <c r="BF191" s="24">
        <v>882</v>
      </c>
      <c r="BG191" s="23">
        <v>375</v>
      </c>
      <c r="BH191" s="24">
        <v>1805</v>
      </c>
      <c r="BI191" s="23">
        <v>347</v>
      </c>
      <c r="BJ191" s="24">
        <v>1791</v>
      </c>
      <c r="BK191" s="23">
        <v>345</v>
      </c>
      <c r="BL191" s="24">
        <v>14</v>
      </c>
      <c r="BM191" s="20">
        <v>41</v>
      </c>
      <c r="BN191" s="19">
        <v>14449</v>
      </c>
      <c r="BO191" s="23">
        <v>1139</v>
      </c>
      <c r="BP191" s="24">
        <v>2564</v>
      </c>
      <c r="BQ191" s="23">
        <v>435</v>
      </c>
      <c r="BR191" s="24">
        <v>2508</v>
      </c>
      <c r="BS191" s="23">
        <v>431</v>
      </c>
      <c r="BT191" s="26">
        <v>56</v>
      </c>
      <c r="BU191" s="23">
        <v>48</v>
      </c>
      <c r="BV191" s="24">
        <v>10091</v>
      </c>
      <c r="BW191" s="23">
        <v>788</v>
      </c>
      <c r="BX191" s="24">
        <v>9730</v>
      </c>
      <c r="BY191" s="23">
        <v>763</v>
      </c>
      <c r="BZ191" s="24">
        <v>361</v>
      </c>
      <c r="CA191" s="23">
        <v>119</v>
      </c>
      <c r="CB191" s="24">
        <v>1794</v>
      </c>
      <c r="CC191" s="23">
        <v>299</v>
      </c>
      <c r="CD191" s="24">
        <v>1696</v>
      </c>
      <c r="CE191" s="23">
        <v>282</v>
      </c>
      <c r="CF191" s="24">
        <v>98</v>
      </c>
      <c r="CG191" s="20">
        <v>85</v>
      </c>
    </row>
    <row r="192" spans="1:85" x14ac:dyDescent="0.3">
      <c r="A192" t="s">
        <v>383</v>
      </c>
      <c r="B192">
        <v>21061</v>
      </c>
      <c r="C192" t="s">
        <v>384</v>
      </c>
      <c r="D192" s="19">
        <v>53083</v>
      </c>
      <c r="E192" s="20">
        <v>1489</v>
      </c>
      <c r="F192" s="19">
        <v>7843</v>
      </c>
      <c r="G192" s="23">
        <v>1995</v>
      </c>
      <c r="H192" s="24">
        <v>2440</v>
      </c>
      <c r="I192" s="23">
        <v>1064</v>
      </c>
      <c r="J192" s="24">
        <v>2384</v>
      </c>
      <c r="K192" s="23">
        <v>1066</v>
      </c>
      <c r="L192" s="24">
        <v>56</v>
      </c>
      <c r="M192" s="23">
        <v>117</v>
      </c>
      <c r="N192" s="24">
        <v>4304</v>
      </c>
      <c r="O192" s="23">
        <v>1075</v>
      </c>
      <c r="P192" s="24">
        <v>3551</v>
      </c>
      <c r="Q192" s="23">
        <v>869</v>
      </c>
      <c r="R192" s="24">
        <v>753</v>
      </c>
      <c r="S192" s="23">
        <v>396</v>
      </c>
      <c r="T192" s="24">
        <v>1099</v>
      </c>
      <c r="U192" s="23">
        <v>351</v>
      </c>
      <c r="V192" s="24">
        <v>1099</v>
      </c>
      <c r="W192" s="23">
        <v>351</v>
      </c>
      <c r="X192" s="24">
        <v>0</v>
      </c>
      <c r="Y192" s="20">
        <v>56</v>
      </c>
      <c r="Z192" s="19">
        <v>5508</v>
      </c>
      <c r="AA192" s="23">
        <v>972</v>
      </c>
      <c r="AB192" s="24">
        <v>1679</v>
      </c>
      <c r="AC192" s="23">
        <v>474</v>
      </c>
      <c r="AD192" s="24">
        <v>1491</v>
      </c>
      <c r="AE192" s="23">
        <v>483</v>
      </c>
      <c r="AF192" s="24">
        <v>188</v>
      </c>
      <c r="AG192" s="23">
        <v>136</v>
      </c>
      <c r="AH192" s="24">
        <v>2907</v>
      </c>
      <c r="AI192" s="23">
        <v>578</v>
      </c>
      <c r="AJ192" s="24">
        <v>2281</v>
      </c>
      <c r="AK192" s="23">
        <v>488</v>
      </c>
      <c r="AL192" s="24">
        <v>626</v>
      </c>
      <c r="AM192" s="23">
        <v>214</v>
      </c>
      <c r="AN192" s="24">
        <v>922</v>
      </c>
      <c r="AO192" s="23">
        <v>217</v>
      </c>
      <c r="AP192" s="24">
        <v>922</v>
      </c>
      <c r="AQ192" s="23">
        <v>217</v>
      </c>
      <c r="AR192" s="24">
        <v>0</v>
      </c>
      <c r="AS192" s="20">
        <v>28</v>
      </c>
      <c r="AT192" s="19">
        <v>19186</v>
      </c>
      <c r="AU192" s="23">
        <v>1601</v>
      </c>
      <c r="AV192" s="24">
        <v>4512</v>
      </c>
      <c r="AW192" s="23">
        <v>601</v>
      </c>
      <c r="AX192" s="24">
        <v>4254</v>
      </c>
      <c r="AY192" s="23">
        <v>615</v>
      </c>
      <c r="AZ192" s="24">
        <v>258</v>
      </c>
      <c r="BA192" s="23">
        <v>203</v>
      </c>
      <c r="BB192" s="24">
        <v>12443</v>
      </c>
      <c r="BC192" s="23">
        <v>1189</v>
      </c>
      <c r="BD192" s="24">
        <v>10721</v>
      </c>
      <c r="BE192" s="23">
        <v>1135</v>
      </c>
      <c r="BF192" s="24">
        <v>1722</v>
      </c>
      <c r="BG192" s="23">
        <v>451</v>
      </c>
      <c r="BH192" s="24">
        <v>2231</v>
      </c>
      <c r="BI192" s="23">
        <v>302</v>
      </c>
      <c r="BJ192" s="24">
        <v>2216</v>
      </c>
      <c r="BK192" s="23">
        <v>304</v>
      </c>
      <c r="BL192" s="24">
        <v>15</v>
      </c>
      <c r="BM192" s="20">
        <v>21</v>
      </c>
      <c r="BN192" s="19">
        <v>20546</v>
      </c>
      <c r="BO192" s="23">
        <v>1519</v>
      </c>
      <c r="BP192" s="24">
        <v>3196</v>
      </c>
      <c r="BQ192" s="23">
        <v>552</v>
      </c>
      <c r="BR192" s="24">
        <v>3103</v>
      </c>
      <c r="BS192" s="23">
        <v>540</v>
      </c>
      <c r="BT192" s="26">
        <v>93</v>
      </c>
      <c r="BU192" s="23">
        <v>95</v>
      </c>
      <c r="BV192" s="24">
        <v>14775</v>
      </c>
      <c r="BW192" s="23">
        <v>1160</v>
      </c>
      <c r="BX192" s="24">
        <v>14299</v>
      </c>
      <c r="BY192" s="23">
        <v>1133</v>
      </c>
      <c r="BZ192" s="24">
        <v>476</v>
      </c>
      <c r="CA192" s="23">
        <v>197</v>
      </c>
      <c r="CB192" s="24">
        <v>2575</v>
      </c>
      <c r="CC192" s="23">
        <v>381</v>
      </c>
      <c r="CD192" s="24">
        <v>2553</v>
      </c>
      <c r="CE192" s="23">
        <v>383</v>
      </c>
      <c r="CF192" s="24">
        <v>22</v>
      </c>
      <c r="CG192" s="20">
        <v>35</v>
      </c>
    </row>
    <row r="193" spans="1:85" x14ac:dyDescent="0.3">
      <c r="A193" t="s">
        <v>385</v>
      </c>
      <c r="B193">
        <v>21071</v>
      </c>
      <c r="C193" t="s">
        <v>386</v>
      </c>
      <c r="D193" s="19">
        <v>514</v>
      </c>
      <c r="E193" s="20">
        <v>265</v>
      </c>
      <c r="F193" s="19">
        <v>0</v>
      </c>
      <c r="G193" s="23">
        <v>24</v>
      </c>
      <c r="H193" s="24">
        <v>0</v>
      </c>
      <c r="I193" s="23">
        <v>24</v>
      </c>
      <c r="J193" s="24">
        <v>0</v>
      </c>
      <c r="K193" s="23">
        <v>24</v>
      </c>
      <c r="L193" s="24">
        <v>0</v>
      </c>
      <c r="M193" s="23">
        <v>24</v>
      </c>
      <c r="N193" s="24">
        <v>0</v>
      </c>
      <c r="O193" s="23">
        <v>24</v>
      </c>
      <c r="P193" s="24">
        <v>0</v>
      </c>
      <c r="Q193" s="23">
        <v>24</v>
      </c>
      <c r="R193" s="24">
        <v>0</v>
      </c>
      <c r="S193" s="23">
        <v>24</v>
      </c>
      <c r="T193" s="24">
        <v>0</v>
      </c>
      <c r="U193" s="23">
        <v>24</v>
      </c>
      <c r="V193" s="24">
        <v>0</v>
      </c>
      <c r="W193" s="23">
        <v>24</v>
      </c>
      <c r="X193" s="24">
        <v>0</v>
      </c>
      <c r="Y193" s="20">
        <v>24</v>
      </c>
      <c r="Z193" s="19">
        <v>55</v>
      </c>
      <c r="AA193" s="23">
        <v>85</v>
      </c>
      <c r="AB193" s="24">
        <v>0</v>
      </c>
      <c r="AC193" s="23">
        <v>12</v>
      </c>
      <c r="AD193" s="24">
        <v>0</v>
      </c>
      <c r="AE193" s="23">
        <v>12</v>
      </c>
      <c r="AF193" s="24">
        <v>0</v>
      </c>
      <c r="AG193" s="23">
        <v>12</v>
      </c>
      <c r="AH193" s="24">
        <v>23</v>
      </c>
      <c r="AI193" s="23">
        <v>36</v>
      </c>
      <c r="AJ193" s="24">
        <v>23</v>
      </c>
      <c r="AK193" s="23">
        <v>36</v>
      </c>
      <c r="AL193" s="24">
        <v>0</v>
      </c>
      <c r="AM193" s="23">
        <v>12</v>
      </c>
      <c r="AN193" s="24">
        <v>32</v>
      </c>
      <c r="AO193" s="23">
        <v>49</v>
      </c>
      <c r="AP193" s="24">
        <v>32</v>
      </c>
      <c r="AQ193" s="23">
        <v>49</v>
      </c>
      <c r="AR193" s="24">
        <v>0</v>
      </c>
      <c r="AS193" s="20">
        <v>12</v>
      </c>
      <c r="AT193" s="19">
        <v>33</v>
      </c>
      <c r="AU193" s="23">
        <v>39</v>
      </c>
      <c r="AV193" s="24">
        <v>0</v>
      </c>
      <c r="AW193" s="23">
        <v>12</v>
      </c>
      <c r="AX193" s="24">
        <v>0</v>
      </c>
      <c r="AY193" s="23">
        <v>12</v>
      </c>
      <c r="AZ193" s="24">
        <v>0</v>
      </c>
      <c r="BA193" s="23">
        <v>12</v>
      </c>
      <c r="BB193" s="24">
        <v>17</v>
      </c>
      <c r="BC193" s="23">
        <v>28</v>
      </c>
      <c r="BD193" s="24">
        <v>17</v>
      </c>
      <c r="BE193" s="23">
        <v>28</v>
      </c>
      <c r="BF193" s="24">
        <v>0</v>
      </c>
      <c r="BG193" s="23">
        <v>12</v>
      </c>
      <c r="BH193" s="24">
        <v>16</v>
      </c>
      <c r="BI193" s="23">
        <v>27</v>
      </c>
      <c r="BJ193" s="24">
        <v>16</v>
      </c>
      <c r="BK193" s="23">
        <v>27</v>
      </c>
      <c r="BL193" s="24">
        <v>0</v>
      </c>
      <c r="BM193" s="20">
        <v>12</v>
      </c>
      <c r="BN193" s="19">
        <v>426</v>
      </c>
      <c r="BO193" s="23">
        <v>257</v>
      </c>
      <c r="BP193" s="24">
        <v>149</v>
      </c>
      <c r="BQ193" s="23">
        <v>106</v>
      </c>
      <c r="BR193" s="24">
        <v>149</v>
      </c>
      <c r="BS193" s="23">
        <v>106</v>
      </c>
      <c r="BT193" s="26">
        <v>0</v>
      </c>
      <c r="BU193" s="23">
        <v>12</v>
      </c>
      <c r="BV193" s="24">
        <v>244</v>
      </c>
      <c r="BW193" s="23">
        <v>148</v>
      </c>
      <c r="BX193" s="24">
        <v>244</v>
      </c>
      <c r="BY193" s="23">
        <v>148</v>
      </c>
      <c r="BZ193" s="24">
        <v>0</v>
      </c>
      <c r="CA193" s="23">
        <v>12</v>
      </c>
      <c r="CB193" s="24">
        <v>33</v>
      </c>
      <c r="CC193" s="23">
        <v>49</v>
      </c>
      <c r="CD193" s="24">
        <v>33</v>
      </c>
      <c r="CE193" s="23">
        <v>49</v>
      </c>
      <c r="CF193" s="24">
        <v>0</v>
      </c>
      <c r="CG193" s="20">
        <v>12</v>
      </c>
    </row>
    <row r="194" spans="1:85" x14ac:dyDescent="0.3">
      <c r="A194" t="s">
        <v>387</v>
      </c>
      <c r="B194">
        <v>21074</v>
      </c>
      <c r="C194" t="s">
        <v>388</v>
      </c>
      <c r="D194" s="19">
        <v>14914</v>
      </c>
      <c r="E194" s="20">
        <v>745</v>
      </c>
      <c r="F194" s="19">
        <v>1072</v>
      </c>
      <c r="G194" s="23">
        <v>376</v>
      </c>
      <c r="H194" s="24">
        <v>109</v>
      </c>
      <c r="I194" s="23">
        <v>93</v>
      </c>
      <c r="J194" s="24">
        <v>84</v>
      </c>
      <c r="K194" s="23">
        <v>71</v>
      </c>
      <c r="L194" s="24">
        <v>25</v>
      </c>
      <c r="M194" s="23">
        <v>47</v>
      </c>
      <c r="N194" s="24">
        <v>727</v>
      </c>
      <c r="O194" s="23">
        <v>330</v>
      </c>
      <c r="P194" s="24">
        <v>629</v>
      </c>
      <c r="Q194" s="23">
        <v>305</v>
      </c>
      <c r="R194" s="24">
        <v>98</v>
      </c>
      <c r="S194" s="23">
        <v>95</v>
      </c>
      <c r="T194" s="24">
        <v>236</v>
      </c>
      <c r="U194" s="23">
        <v>127</v>
      </c>
      <c r="V194" s="24">
        <v>236</v>
      </c>
      <c r="W194" s="23">
        <v>127</v>
      </c>
      <c r="X194" s="24">
        <v>0</v>
      </c>
      <c r="Y194" s="20">
        <v>38</v>
      </c>
      <c r="Z194" s="19">
        <v>1187</v>
      </c>
      <c r="AA194" s="23">
        <v>402</v>
      </c>
      <c r="AB194" s="24">
        <v>322</v>
      </c>
      <c r="AC194" s="23">
        <v>155</v>
      </c>
      <c r="AD194" s="24">
        <v>279</v>
      </c>
      <c r="AE194" s="23">
        <v>144</v>
      </c>
      <c r="AF194" s="24">
        <v>43</v>
      </c>
      <c r="AG194" s="23">
        <v>47</v>
      </c>
      <c r="AH194" s="24">
        <v>508</v>
      </c>
      <c r="AI194" s="23">
        <v>218</v>
      </c>
      <c r="AJ194" s="24">
        <v>316</v>
      </c>
      <c r="AK194" s="23">
        <v>133</v>
      </c>
      <c r="AL194" s="24">
        <v>192</v>
      </c>
      <c r="AM194" s="23">
        <v>120</v>
      </c>
      <c r="AN194" s="24">
        <v>357</v>
      </c>
      <c r="AO194" s="23">
        <v>152</v>
      </c>
      <c r="AP194" s="24">
        <v>357</v>
      </c>
      <c r="AQ194" s="23">
        <v>152</v>
      </c>
      <c r="AR194" s="24">
        <v>0</v>
      </c>
      <c r="AS194" s="20">
        <v>19</v>
      </c>
      <c r="AT194" s="19">
        <v>4346</v>
      </c>
      <c r="AU194" s="23">
        <v>661</v>
      </c>
      <c r="AV194" s="24">
        <v>1160</v>
      </c>
      <c r="AW194" s="23">
        <v>263</v>
      </c>
      <c r="AX194" s="24">
        <v>1160</v>
      </c>
      <c r="AY194" s="23">
        <v>263</v>
      </c>
      <c r="AZ194" s="24">
        <v>0</v>
      </c>
      <c r="BA194" s="23">
        <v>19</v>
      </c>
      <c r="BB194" s="24">
        <v>2506</v>
      </c>
      <c r="BC194" s="23">
        <v>452</v>
      </c>
      <c r="BD194" s="24">
        <v>2431</v>
      </c>
      <c r="BE194" s="23">
        <v>440</v>
      </c>
      <c r="BF194" s="24">
        <v>75</v>
      </c>
      <c r="BG194" s="23">
        <v>58</v>
      </c>
      <c r="BH194" s="24">
        <v>680</v>
      </c>
      <c r="BI194" s="23">
        <v>162</v>
      </c>
      <c r="BJ194" s="24">
        <v>680</v>
      </c>
      <c r="BK194" s="23">
        <v>162</v>
      </c>
      <c r="BL194" s="24">
        <v>0</v>
      </c>
      <c r="BM194" s="20">
        <v>19</v>
      </c>
      <c r="BN194" s="19">
        <v>8309</v>
      </c>
      <c r="BO194" s="23">
        <v>805</v>
      </c>
      <c r="BP194" s="24">
        <v>1733</v>
      </c>
      <c r="BQ194" s="23">
        <v>324</v>
      </c>
      <c r="BR194" s="24">
        <v>1733</v>
      </c>
      <c r="BS194" s="23">
        <v>324</v>
      </c>
      <c r="BT194" s="26">
        <v>0</v>
      </c>
      <c r="BU194" s="23">
        <v>19</v>
      </c>
      <c r="BV194" s="24">
        <v>5771</v>
      </c>
      <c r="BW194" s="23">
        <v>576</v>
      </c>
      <c r="BX194" s="24">
        <v>5735</v>
      </c>
      <c r="BY194" s="23">
        <v>577</v>
      </c>
      <c r="BZ194" s="24">
        <v>36</v>
      </c>
      <c r="CA194" s="23">
        <v>31</v>
      </c>
      <c r="CB194" s="24">
        <v>805</v>
      </c>
      <c r="CC194" s="23">
        <v>173</v>
      </c>
      <c r="CD194" s="24">
        <v>805</v>
      </c>
      <c r="CE194" s="23">
        <v>173</v>
      </c>
      <c r="CF194" s="24">
        <v>0</v>
      </c>
      <c r="CG194" s="20">
        <v>19</v>
      </c>
    </row>
    <row r="195" spans="1:85" x14ac:dyDescent="0.3">
      <c r="A195" t="s">
        <v>389</v>
      </c>
      <c r="B195">
        <v>21075</v>
      </c>
      <c r="C195" t="s">
        <v>390</v>
      </c>
      <c r="D195" s="19">
        <v>30930</v>
      </c>
      <c r="E195" s="20">
        <v>1019</v>
      </c>
      <c r="F195" s="19">
        <v>2626</v>
      </c>
      <c r="G195" s="23">
        <v>974</v>
      </c>
      <c r="H195" s="24">
        <v>829</v>
      </c>
      <c r="I195" s="23">
        <v>480</v>
      </c>
      <c r="J195" s="24">
        <v>678</v>
      </c>
      <c r="K195" s="23">
        <v>423</v>
      </c>
      <c r="L195" s="24">
        <v>151</v>
      </c>
      <c r="M195" s="23">
        <v>166</v>
      </c>
      <c r="N195" s="24">
        <v>1615</v>
      </c>
      <c r="O195" s="23">
        <v>577</v>
      </c>
      <c r="P195" s="24">
        <v>1069</v>
      </c>
      <c r="Q195" s="23">
        <v>384</v>
      </c>
      <c r="R195" s="24">
        <v>546</v>
      </c>
      <c r="S195" s="23">
        <v>355</v>
      </c>
      <c r="T195" s="24">
        <v>182</v>
      </c>
      <c r="U195" s="23">
        <v>125</v>
      </c>
      <c r="V195" s="24">
        <v>182</v>
      </c>
      <c r="W195" s="23">
        <v>125</v>
      </c>
      <c r="X195" s="24">
        <v>0</v>
      </c>
      <c r="Y195" s="20">
        <v>50</v>
      </c>
      <c r="Z195" s="19">
        <v>2275</v>
      </c>
      <c r="AA195" s="23">
        <v>1033</v>
      </c>
      <c r="AB195" s="24">
        <v>1042</v>
      </c>
      <c r="AC195" s="23">
        <v>561</v>
      </c>
      <c r="AD195" s="24">
        <v>928</v>
      </c>
      <c r="AE195" s="23">
        <v>489</v>
      </c>
      <c r="AF195" s="24">
        <v>114</v>
      </c>
      <c r="AG195" s="23">
        <v>98</v>
      </c>
      <c r="AH195" s="24">
        <v>1025</v>
      </c>
      <c r="AI195" s="23">
        <v>483</v>
      </c>
      <c r="AJ195" s="24">
        <v>885</v>
      </c>
      <c r="AK195" s="23">
        <v>395</v>
      </c>
      <c r="AL195" s="24">
        <v>140</v>
      </c>
      <c r="AM195" s="23">
        <v>123</v>
      </c>
      <c r="AN195" s="24">
        <v>208</v>
      </c>
      <c r="AO195" s="23">
        <v>105</v>
      </c>
      <c r="AP195" s="24">
        <v>208</v>
      </c>
      <c r="AQ195" s="23">
        <v>105</v>
      </c>
      <c r="AR195" s="24">
        <v>0</v>
      </c>
      <c r="AS195" s="20">
        <v>25</v>
      </c>
      <c r="AT195" s="19">
        <v>7292</v>
      </c>
      <c r="AU195" s="23">
        <v>856</v>
      </c>
      <c r="AV195" s="24">
        <v>2296</v>
      </c>
      <c r="AW195" s="23">
        <v>360</v>
      </c>
      <c r="AX195" s="24">
        <v>2256</v>
      </c>
      <c r="AY195" s="23">
        <v>370</v>
      </c>
      <c r="AZ195" s="24">
        <v>40</v>
      </c>
      <c r="BA195" s="23">
        <v>35</v>
      </c>
      <c r="BB195" s="24">
        <v>4304</v>
      </c>
      <c r="BC195" s="23">
        <v>587</v>
      </c>
      <c r="BD195" s="24">
        <v>3859</v>
      </c>
      <c r="BE195" s="23">
        <v>487</v>
      </c>
      <c r="BF195" s="24">
        <v>445</v>
      </c>
      <c r="BG195" s="23">
        <v>214</v>
      </c>
      <c r="BH195" s="24">
        <v>692</v>
      </c>
      <c r="BI195" s="23">
        <v>175</v>
      </c>
      <c r="BJ195" s="24">
        <v>692</v>
      </c>
      <c r="BK195" s="23">
        <v>175</v>
      </c>
      <c r="BL195" s="24">
        <v>0</v>
      </c>
      <c r="BM195" s="20">
        <v>25</v>
      </c>
      <c r="BN195" s="19">
        <v>18737</v>
      </c>
      <c r="BO195" s="23">
        <v>1141</v>
      </c>
      <c r="BP195" s="24">
        <v>4736</v>
      </c>
      <c r="BQ195" s="23">
        <v>485</v>
      </c>
      <c r="BR195" s="24">
        <v>4720</v>
      </c>
      <c r="BS195" s="23">
        <v>487</v>
      </c>
      <c r="BT195" s="26">
        <v>16</v>
      </c>
      <c r="BU195" s="23">
        <v>23</v>
      </c>
      <c r="BV195" s="24">
        <v>12718</v>
      </c>
      <c r="BW195" s="23">
        <v>762</v>
      </c>
      <c r="BX195" s="24">
        <v>12147</v>
      </c>
      <c r="BY195" s="23">
        <v>737</v>
      </c>
      <c r="BZ195" s="24">
        <v>571</v>
      </c>
      <c r="CA195" s="23">
        <v>204</v>
      </c>
      <c r="CB195" s="24">
        <v>1283</v>
      </c>
      <c r="CC195" s="23">
        <v>231</v>
      </c>
      <c r="CD195" s="24">
        <v>1283</v>
      </c>
      <c r="CE195" s="23">
        <v>231</v>
      </c>
      <c r="CF195" s="24">
        <v>0</v>
      </c>
      <c r="CG195" s="20">
        <v>25</v>
      </c>
    </row>
    <row r="196" spans="1:85" x14ac:dyDescent="0.3">
      <c r="A196" t="s">
        <v>391</v>
      </c>
      <c r="B196">
        <v>21076</v>
      </c>
      <c r="C196" t="s">
        <v>392</v>
      </c>
      <c r="D196" s="19">
        <v>16009</v>
      </c>
      <c r="E196" s="20">
        <v>1085</v>
      </c>
      <c r="F196" s="19">
        <v>484</v>
      </c>
      <c r="G196" s="23">
        <v>337</v>
      </c>
      <c r="H196" s="24">
        <v>119</v>
      </c>
      <c r="I196" s="23">
        <v>196</v>
      </c>
      <c r="J196" s="24">
        <v>119</v>
      </c>
      <c r="K196" s="23">
        <v>196</v>
      </c>
      <c r="L196" s="24">
        <v>0</v>
      </c>
      <c r="M196" s="23">
        <v>38</v>
      </c>
      <c r="N196" s="24">
        <v>280</v>
      </c>
      <c r="O196" s="23">
        <v>196</v>
      </c>
      <c r="P196" s="24">
        <v>213</v>
      </c>
      <c r="Q196" s="23">
        <v>162</v>
      </c>
      <c r="R196" s="24">
        <v>67</v>
      </c>
      <c r="S196" s="23">
        <v>110</v>
      </c>
      <c r="T196" s="24">
        <v>85</v>
      </c>
      <c r="U196" s="23">
        <v>88</v>
      </c>
      <c r="V196" s="24">
        <v>85</v>
      </c>
      <c r="W196" s="23">
        <v>88</v>
      </c>
      <c r="X196" s="24">
        <v>0</v>
      </c>
      <c r="Y196" s="20">
        <v>38</v>
      </c>
      <c r="Z196" s="19">
        <v>631</v>
      </c>
      <c r="AA196" s="23">
        <v>323</v>
      </c>
      <c r="AB196" s="24">
        <v>143</v>
      </c>
      <c r="AC196" s="23">
        <v>112</v>
      </c>
      <c r="AD196" s="24">
        <v>135</v>
      </c>
      <c r="AE196" s="23">
        <v>112</v>
      </c>
      <c r="AF196" s="24">
        <v>8</v>
      </c>
      <c r="AG196" s="23">
        <v>16</v>
      </c>
      <c r="AH196" s="24">
        <v>356</v>
      </c>
      <c r="AI196" s="23">
        <v>195</v>
      </c>
      <c r="AJ196" s="24">
        <v>264</v>
      </c>
      <c r="AK196" s="23">
        <v>164</v>
      </c>
      <c r="AL196" s="24">
        <v>92</v>
      </c>
      <c r="AM196" s="23">
        <v>104</v>
      </c>
      <c r="AN196" s="24">
        <v>132</v>
      </c>
      <c r="AO196" s="23">
        <v>103</v>
      </c>
      <c r="AP196" s="24">
        <v>132</v>
      </c>
      <c r="AQ196" s="23">
        <v>103</v>
      </c>
      <c r="AR196" s="24">
        <v>0</v>
      </c>
      <c r="AS196" s="20">
        <v>19</v>
      </c>
      <c r="AT196" s="19">
        <v>3465</v>
      </c>
      <c r="AU196" s="23">
        <v>879</v>
      </c>
      <c r="AV196" s="24">
        <v>998</v>
      </c>
      <c r="AW196" s="23">
        <v>412</v>
      </c>
      <c r="AX196" s="24">
        <v>983</v>
      </c>
      <c r="AY196" s="23">
        <v>411</v>
      </c>
      <c r="AZ196" s="24">
        <v>15</v>
      </c>
      <c r="BA196" s="23">
        <v>24</v>
      </c>
      <c r="BB196" s="24">
        <v>2057</v>
      </c>
      <c r="BC196" s="23">
        <v>527</v>
      </c>
      <c r="BD196" s="24">
        <v>1944</v>
      </c>
      <c r="BE196" s="23">
        <v>499</v>
      </c>
      <c r="BF196" s="24">
        <v>113</v>
      </c>
      <c r="BG196" s="23">
        <v>96</v>
      </c>
      <c r="BH196" s="24">
        <v>410</v>
      </c>
      <c r="BI196" s="23">
        <v>203</v>
      </c>
      <c r="BJ196" s="24">
        <v>410</v>
      </c>
      <c r="BK196" s="23">
        <v>203</v>
      </c>
      <c r="BL196" s="24">
        <v>0</v>
      </c>
      <c r="BM196" s="20">
        <v>19</v>
      </c>
      <c r="BN196" s="19">
        <v>11429</v>
      </c>
      <c r="BO196" s="23">
        <v>1123</v>
      </c>
      <c r="BP196" s="24">
        <v>1911</v>
      </c>
      <c r="BQ196" s="23">
        <v>385</v>
      </c>
      <c r="BR196" s="24">
        <v>1878</v>
      </c>
      <c r="BS196" s="23">
        <v>388</v>
      </c>
      <c r="BT196" s="26">
        <v>33</v>
      </c>
      <c r="BU196" s="23">
        <v>38</v>
      </c>
      <c r="BV196" s="24">
        <v>8604</v>
      </c>
      <c r="BW196" s="23">
        <v>919</v>
      </c>
      <c r="BX196" s="24">
        <v>8342</v>
      </c>
      <c r="BY196" s="23">
        <v>899</v>
      </c>
      <c r="BZ196" s="24">
        <v>262</v>
      </c>
      <c r="CA196" s="23">
        <v>167</v>
      </c>
      <c r="CB196" s="24">
        <v>914</v>
      </c>
      <c r="CC196" s="23">
        <v>212</v>
      </c>
      <c r="CD196" s="24">
        <v>914</v>
      </c>
      <c r="CE196" s="23">
        <v>212</v>
      </c>
      <c r="CF196" s="24">
        <v>0</v>
      </c>
      <c r="CG196" s="20">
        <v>19</v>
      </c>
    </row>
    <row r="197" spans="1:85" x14ac:dyDescent="0.3">
      <c r="A197" t="s">
        <v>393</v>
      </c>
      <c r="B197">
        <v>21077</v>
      </c>
      <c r="C197" t="s">
        <v>394</v>
      </c>
      <c r="D197" s="19">
        <v>240</v>
      </c>
      <c r="E197" s="20">
        <v>134</v>
      </c>
      <c r="F197" s="19">
        <v>0</v>
      </c>
      <c r="G197" s="23">
        <v>24</v>
      </c>
      <c r="H197" s="24">
        <v>0</v>
      </c>
      <c r="I197" s="23">
        <v>24</v>
      </c>
      <c r="J197" s="24">
        <v>0</v>
      </c>
      <c r="K197" s="23">
        <v>24</v>
      </c>
      <c r="L197" s="24">
        <v>0</v>
      </c>
      <c r="M197" s="23">
        <v>24</v>
      </c>
      <c r="N197" s="24">
        <v>0</v>
      </c>
      <c r="O197" s="23">
        <v>24</v>
      </c>
      <c r="P197" s="24">
        <v>0</v>
      </c>
      <c r="Q197" s="23">
        <v>24</v>
      </c>
      <c r="R197" s="24">
        <v>0</v>
      </c>
      <c r="S197" s="23">
        <v>24</v>
      </c>
      <c r="T197" s="24">
        <v>0</v>
      </c>
      <c r="U197" s="23">
        <v>24</v>
      </c>
      <c r="V197" s="24">
        <v>0</v>
      </c>
      <c r="W197" s="23">
        <v>24</v>
      </c>
      <c r="X197" s="24">
        <v>0</v>
      </c>
      <c r="Y197" s="20">
        <v>24</v>
      </c>
      <c r="Z197" s="19">
        <v>0</v>
      </c>
      <c r="AA197" s="23">
        <v>12</v>
      </c>
      <c r="AB197" s="24">
        <v>0</v>
      </c>
      <c r="AC197" s="23">
        <v>12</v>
      </c>
      <c r="AD197" s="24">
        <v>0</v>
      </c>
      <c r="AE197" s="23">
        <v>12</v>
      </c>
      <c r="AF197" s="24">
        <v>0</v>
      </c>
      <c r="AG197" s="23">
        <v>12</v>
      </c>
      <c r="AH197" s="24">
        <v>0</v>
      </c>
      <c r="AI197" s="23">
        <v>12</v>
      </c>
      <c r="AJ197" s="24">
        <v>0</v>
      </c>
      <c r="AK197" s="23">
        <v>12</v>
      </c>
      <c r="AL197" s="24">
        <v>0</v>
      </c>
      <c r="AM197" s="23">
        <v>12</v>
      </c>
      <c r="AN197" s="24">
        <v>0</v>
      </c>
      <c r="AO197" s="23">
        <v>12</v>
      </c>
      <c r="AP197" s="24">
        <v>0</v>
      </c>
      <c r="AQ197" s="23">
        <v>12</v>
      </c>
      <c r="AR197" s="24">
        <v>0</v>
      </c>
      <c r="AS197" s="20">
        <v>12</v>
      </c>
      <c r="AT197" s="19">
        <v>17</v>
      </c>
      <c r="AU197" s="23">
        <v>27</v>
      </c>
      <c r="AV197" s="24">
        <v>0</v>
      </c>
      <c r="AW197" s="23">
        <v>12</v>
      </c>
      <c r="AX197" s="24">
        <v>0</v>
      </c>
      <c r="AY197" s="23">
        <v>12</v>
      </c>
      <c r="AZ197" s="24">
        <v>0</v>
      </c>
      <c r="BA197" s="23">
        <v>12</v>
      </c>
      <c r="BB197" s="24">
        <v>0</v>
      </c>
      <c r="BC197" s="23">
        <v>12</v>
      </c>
      <c r="BD197" s="24">
        <v>0</v>
      </c>
      <c r="BE197" s="23">
        <v>12</v>
      </c>
      <c r="BF197" s="24">
        <v>0</v>
      </c>
      <c r="BG197" s="23">
        <v>12</v>
      </c>
      <c r="BH197" s="24">
        <v>17</v>
      </c>
      <c r="BI197" s="23">
        <v>27</v>
      </c>
      <c r="BJ197" s="24">
        <v>17</v>
      </c>
      <c r="BK197" s="23">
        <v>27</v>
      </c>
      <c r="BL197" s="24">
        <v>0</v>
      </c>
      <c r="BM197" s="20">
        <v>12</v>
      </c>
      <c r="BN197" s="19">
        <v>223</v>
      </c>
      <c r="BO197" s="23">
        <v>140</v>
      </c>
      <c r="BP197" s="24">
        <v>25</v>
      </c>
      <c r="BQ197" s="23">
        <v>38</v>
      </c>
      <c r="BR197" s="24">
        <v>25</v>
      </c>
      <c r="BS197" s="23">
        <v>38</v>
      </c>
      <c r="BT197" s="26">
        <v>0</v>
      </c>
      <c r="BU197" s="23">
        <v>12</v>
      </c>
      <c r="BV197" s="24">
        <v>170</v>
      </c>
      <c r="BW197" s="23">
        <v>112</v>
      </c>
      <c r="BX197" s="24">
        <v>156</v>
      </c>
      <c r="BY197" s="23">
        <v>104</v>
      </c>
      <c r="BZ197" s="24">
        <v>14</v>
      </c>
      <c r="CA197" s="23">
        <v>24</v>
      </c>
      <c r="CB197" s="24">
        <v>28</v>
      </c>
      <c r="CC197" s="23">
        <v>32</v>
      </c>
      <c r="CD197" s="24">
        <v>28</v>
      </c>
      <c r="CE197" s="23">
        <v>32</v>
      </c>
      <c r="CF197" s="24">
        <v>0</v>
      </c>
      <c r="CG197" s="20">
        <v>12</v>
      </c>
    </row>
    <row r="198" spans="1:85" x14ac:dyDescent="0.3">
      <c r="A198" t="s">
        <v>395</v>
      </c>
      <c r="B198">
        <v>21078</v>
      </c>
      <c r="C198" t="s">
        <v>396</v>
      </c>
      <c r="D198" s="19">
        <v>17823</v>
      </c>
      <c r="E198" s="20">
        <v>458</v>
      </c>
      <c r="F198" s="19">
        <v>2442</v>
      </c>
      <c r="G198" s="23">
        <v>686</v>
      </c>
      <c r="H198" s="24">
        <v>548</v>
      </c>
      <c r="I198" s="23">
        <v>292</v>
      </c>
      <c r="J198" s="24">
        <v>531</v>
      </c>
      <c r="K198" s="23">
        <v>280</v>
      </c>
      <c r="L198" s="24">
        <v>17</v>
      </c>
      <c r="M198" s="23">
        <v>44</v>
      </c>
      <c r="N198" s="24">
        <v>1463</v>
      </c>
      <c r="O198" s="23">
        <v>440</v>
      </c>
      <c r="P198" s="24">
        <v>1351</v>
      </c>
      <c r="Q198" s="23">
        <v>427</v>
      </c>
      <c r="R198" s="24">
        <v>112</v>
      </c>
      <c r="S198" s="23">
        <v>82</v>
      </c>
      <c r="T198" s="24">
        <v>431</v>
      </c>
      <c r="U198" s="23">
        <v>176</v>
      </c>
      <c r="V198" s="24">
        <v>405</v>
      </c>
      <c r="W198" s="23">
        <v>162</v>
      </c>
      <c r="X198" s="24">
        <v>26</v>
      </c>
      <c r="Y198" s="20">
        <v>68</v>
      </c>
      <c r="Z198" s="19">
        <v>1393</v>
      </c>
      <c r="AA198" s="23">
        <v>426</v>
      </c>
      <c r="AB198" s="24">
        <v>354</v>
      </c>
      <c r="AC198" s="23">
        <v>189</v>
      </c>
      <c r="AD198" s="24">
        <v>354</v>
      </c>
      <c r="AE198" s="23">
        <v>189</v>
      </c>
      <c r="AF198" s="24">
        <v>0</v>
      </c>
      <c r="AG198" s="23">
        <v>19</v>
      </c>
      <c r="AH198" s="24">
        <v>814</v>
      </c>
      <c r="AI198" s="23">
        <v>237</v>
      </c>
      <c r="AJ198" s="24">
        <v>716</v>
      </c>
      <c r="AK198" s="23">
        <v>231</v>
      </c>
      <c r="AL198" s="24">
        <v>98</v>
      </c>
      <c r="AM198" s="23">
        <v>69</v>
      </c>
      <c r="AN198" s="24">
        <v>225</v>
      </c>
      <c r="AO198" s="23">
        <v>151</v>
      </c>
      <c r="AP198" s="24">
        <v>225</v>
      </c>
      <c r="AQ198" s="23">
        <v>151</v>
      </c>
      <c r="AR198" s="24">
        <v>0</v>
      </c>
      <c r="AS198" s="20">
        <v>19</v>
      </c>
      <c r="AT198" s="19">
        <v>4396</v>
      </c>
      <c r="AU198" s="23">
        <v>703</v>
      </c>
      <c r="AV198" s="24">
        <v>1094</v>
      </c>
      <c r="AW198" s="23">
        <v>330</v>
      </c>
      <c r="AX198" s="24">
        <v>1043</v>
      </c>
      <c r="AY198" s="23">
        <v>339</v>
      </c>
      <c r="AZ198" s="24">
        <v>51</v>
      </c>
      <c r="BA198" s="23">
        <v>52</v>
      </c>
      <c r="BB198" s="24">
        <v>2440</v>
      </c>
      <c r="BC198" s="23">
        <v>381</v>
      </c>
      <c r="BD198" s="24">
        <v>2276</v>
      </c>
      <c r="BE198" s="23">
        <v>376</v>
      </c>
      <c r="BF198" s="24">
        <v>164</v>
      </c>
      <c r="BG198" s="23">
        <v>87</v>
      </c>
      <c r="BH198" s="24">
        <v>862</v>
      </c>
      <c r="BI198" s="23">
        <v>163</v>
      </c>
      <c r="BJ198" s="24">
        <v>862</v>
      </c>
      <c r="BK198" s="23">
        <v>163</v>
      </c>
      <c r="BL198" s="24">
        <v>0</v>
      </c>
      <c r="BM198" s="20">
        <v>19</v>
      </c>
      <c r="BN198" s="19">
        <v>9592</v>
      </c>
      <c r="BO198" s="23">
        <v>802</v>
      </c>
      <c r="BP198" s="24">
        <v>1386</v>
      </c>
      <c r="BQ198" s="23">
        <v>306</v>
      </c>
      <c r="BR198" s="24">
        <v>1363</v>
      </c>
      <c r="BS198" s="23">
        <v>298</v>
      </c>
      <c r="BT198" s="26">
        <v>23</v>
      </c>
      <c r="BU198" s="23">
        <v>28</v>
      </c>
      <c r="BV198" s="24">
        <v>6348</v>
      </c>
      <c r="BW198" s="23">
        <v>544</v>
      </c>
      <c r="BX198" s="24">
        <v>6261</v>
      </c>
      <c r="BY198" s="23">
        <v>538</v>
      </c>
      <c r="BZ198" s="24">
        <v>87</v>
      </c>
      <c r="CA198" s="23">
        <v>76</v>
      </c>
      <c r="CB198" s="24">
        <v>1858</v>
      </c>
      <c r="CC198" s="23">
        <v>238</v>
      </c>
      <c r="CD198" s="24">
        <v>1858</v>
      </c>
      <c r="CE198" s="23">
        <v>238</v>
      </c>
      <c r="CF198" s="24">
        <v>0</v>
      </c>
      <c r="CG198" s="20">
        <v>19</v>
      </c>
    </row>
    <row r="199" spans="1:85" x14ac:dyDescent="0.3">
      <c r="A199" t="s">
        <v>397</v>
      </c>
      <c r="B199">
        <v>21082</v>
      </c>
      <c r="C199" t="s">
        <v>398</v>
      </c>
      <c r="D199" s="19">
        <v>470</v>
      </c>
      <c r="E199" s="20">
        <v>146</v>
      </c>
      <c r="F199" s="19">
        <v>0</v>
      </c>
      <c r="G199" s="23">
        <v>24</v>
      </c>
      <c r="H199" s="24">
        <v>0</v>
      </c>
      <c r="I199" s="23">
        <v>24</v>
      </c>
      <c r="J199" s="24">
        <v>0</v>
      </c>
      <c r="K199" s="23">
        <v>24</v>
      </c>
      <c r="L199" s="24">
        <v>0</v>
      </c>
      <c r="M199" s="23">
        <v>24</v>
      </c>
      <c r="N199" s="24">
        <v>0</v>
      </c>
      <c r="O199" s="23">
        <v>24</v>
      </c>
      <c r="P199" s="24">
        <v>0</v>
      </c>
      <c r="Q199" s="23">
        <v>24</v>
      </c>
      <c r="R199" s="24">
        <v>0</v>
      </c>
      <c r="S199" s="23">
        <v>24</v>
      </c>
      <c r="T199" s="24">
        <v>0</v>
      </c>
      <c r="U199" s="23">
        <v>24</v>
      </c>
      <c r="V199" s="24">
        <v>0</v>
      </c>
      <c r="W199" s="23">
        <v>24</v>
      </c>
      <c r="X199" s="24">
        <v>0</v>
      </c>
      <c r="Y199" s="20">
        <v>24</v>
      </c>
      <c r="Z199" s="19">
        <v>0</v>
      </c>
      <c r="AA199" s="23">
        <v>12</v>
      </c>
      <c r="AB199" s="24">
        <v>0</v>
      </c>
      <c r="AC199" s="23">
        <v>12</v>
      </c>
      <c r="AD199" s="24">
        <v>0</v>
      </c>
      <c r="AE199" s="23">
        <v>12</v>
      </c>
      <c r="AF199" s="24">
        <v>0</v>
      </c>
      <c r="AG199" s="23">
        <v>12</v>
      </c>
      <c r="AH199" s="24">
        <v>0</v>
      </c>
      <c r="AI199" s="23">
        <v>12</v>
      </c>
      <c r="AJ199" s="24">
        <v>0</v>
      </c>
      <c r="AK199" s="23">
        <v>12</v>
      </c>
      <c r="AL199" s="24">
        <v>0</v>
      </c>
      <c r="AM199" s="23">
        <v>12</v>
      </c>
      <c r="AN199" s="24">
        <v>0</v>
      </c>
      <c r="AO199" s="23">
        <v>12</v>
      </c>
      <c r="AP199" s="24">
        <v>0</v>
      </c>
      <c r="AQ199" s="23">
        <v>12</v>
      </c>
      <c r="AR199" s="24">
        <v>0</v>
      </c>
      <c r="AS199" s="20">
        <v>12</v>
      </c>
      <c r="AT199" s="19">
        <v>104</v>
      </c>
      <c r="AU199" s="23">
        <v>99</v>
      </c>
      <c r="AV199" s="24">
        <v>34</v>
      </c>
      <c r="AW199" s="23">
        <v>54</v>
      </c>
      <c r="AX199" s="24">
        <v>34</v>
      </c>
      <c r="AY199" s="23">
        <v>54</v>
      </c>
      <c r="AZ199" s="24">
        <v>0</v>
      </c>
      <c r="BA199" s="23">
        <v>12</v>
      </c>
      <c r="BB199" s="24">
        <v>53</v>
      </c>
      <c r="BC199" s="23">
        <v>50</v>
      </c>
      <c r="BD199" s="24">
        <v>53</v>
      </c>
      <c r="BE199" s="23">
        <v>50</v>
      </c>
      <c r="BF199" s="24">
        <v>0</v>
      </c>
      <c r="BG199" s="23">
        <v>12</v>
      </c>
      <c r="BH199" s="24">
        <v>17</v>
      </c>
      <c r="BI199" s="23">
        <v>26</v>
      </c>
      <c r="BJ199" s="24">
        <v>17</v>
      </c>
      <c r="BK199" s="23">
        <v>26</v>
      </c>
      <c r="BL199" s="24">
        <v>0</v>
      </c>
      <c r="BM199" s="20">
        <v>12</v>
      </c>
      <c r="BN199" s="19">
        <v>366</v>
      </c>
      <c r="BO199" s="23">
        <v>118</v>
      </c>
      <c r="BP199" s="24">
        <v>52</v>
      </c>
      <c r="BQ199" s="23">
        <v>37</v>
      </c>
      <c r="BR199" s="24">
        <v>52</v>
      </c>
      <c r="BS199" s="23">
        <v>37</v>
      </c>
      <c r="BT199" s="26">
        <v>0</v>
      </c>
      <c r="BU199" s="23">
        <v>12</v>
      </c>
      <c r="BV199" s="24">
        <v>226</v>
      </c>
      <c r="BW199" s="23">
        <v>88</v>
      </c>
      <c r="BX199" s="24">
        <v>226</v>
      </c>
      <c r="BY199" s="23">
        <v>88</v>
      </c>
      <c r="BZ199" s="24">
        <v>0</v>
      </c>
      <c r="CA199" s="23">
        <v>12</v>
      </c>
      <c r="CB199" s="24">
        <v>88</v>
      </c>
      <c r="CC199" s="23">
        <v>50</v>
      </c>
      <c r="CD199" s="24">
        <v>88</v>
      </c>
      <c r="CE199" s="23">
        <v>50</v>
      </c>
      <c r="CF199" s="24">
        <v>0</v>
      </c>
      <c r="CG199" s="20">
        <v>12</v>
      </c>
    </row>
    <row r="200" spans="1:85" x14ac:dyDescent="0.3">
      <c r="A200" t="s">
        <v>399</v>
      </c>
      <c r="B200">
        <v>21084</v>
      </c>
      <c r="C200" t="s">
        <v>400</v>
      </c>
      <c r="D200" s="19">
        <v>7731</v>
      </c>
      <c r="E200" s="20">
        <v>487</v>
      </c>
      <c r="F200" s="19">
        <v>661</v>
      </c>
      <c r="G200" s="23">
        <v>483</v>
      </c>
      <c r="H200" s="24">
        <v>141</v>
      </c>
      <c r="I200" s="23">
        <v>150</v>
      </c>
      <c r="J200" s="24">
        <v>141</v>
      </c>
      <c r="K200" s="23">
        <v>150</v>
      </c>
      <c r="L200" s="24">
        <v>0</v>
      </c>
      <c r="M200" s="23">
        <v>34</v>
      </c>
      <c r="N200" s="24">
        <v>410</v>
      </c>
      <c r="O200" s="23">
        <v>370</v>
      </c>
      <c r="P200" s="24">
        <v>281</v>
      </c>
      <c r="Q200" s="23">
        <v>219</v>
      </c>
      <c r="R200" s="24">
        <v>129</v>
      </c>
      <c r="S200" s="23">
        <v>196</v>
      </c>
      <c r="T200" s="24">
        <v>110</v>
      </c>
      <c r="U200" s="23">
        <v>104</v>
      </c>
      <c r="V200" s="24">
        <v>110</v>
      </c>
      <c r="W200" s="23">
        <v>104</v>
      </c>
      <c r="X200" s="24">
        <v>0</v>
      </c>
      <c r="Y200" s="20">
        <v>34</v>
      </c>
      <c r="Z200" s="19">
        <v>226</v>
      </c>
      <c r="AA200" s="23">
        <v>111</v>
      </c>
      <c r="AB200" s="24">
        <v>28</v>
      </c>
      <c r="AC200" s="23">
        <v>34</v>
      </c>
      <c r="AD200" s="24">
        <v>28</v>
      </c>
      <c r="AE200" s="23">
        <v>34</v>
      </c>
      <c r="AF200" s="24">
        <v>0</v>
      </c>
      <c r="AG200" s="23">
        <v>17</v>
      </c>
      <c r="AH200" s="24">
        <v>106</v>
      </c>
      <c r="AI200" s="23">
        <v>55</v>
      </c>
      <c r="AJ200" s="24">
        <v>99</v>
      </c>
      <c r="AK200" s="23">
        <v>54</v>
      </c>
      <c r="AL200" s="24">
        <v>7</v>
      </c>
      <c r="AM200" s="23">
        <v>12</v>
      </c>
      <c r="AN200" s="24">
        <v>92</v>
      </c>
      <c r="AO200" s="23">
        <v>65</v>
      </c>
      <c r="AP200" s="24">
        <v>92</v>
      </c>
      <c r="AQ200" s="23">
        <v>65</v>
      </c>
      <c r="AR200" s="24">
        <v>0</v>
      </c>
      <c r="AS200" s="20">
        <v>17</v>
      </c>
      <c r="AT200" s="19">
        <v>1557</v>
      </c>
      <c r="AU200" s="23">
        <v>484</v>
      </c>
      <c r="AV200" s="24">
        <v>490</v>
      </c>
      <c r="AW200" s="23">
        <v>279</v>
      </c>
      <c r="AX200" s="24">
        <v>464</v>
      </c>
      <c r="AY200" s="23">
        <v>277</v>
      </c>
      <c r="AZ200" s="24">
        <v>26</v>
      </c>
      <c r="BA200" s="23">
        <v>41</v>
      </c>
      <c r="BB200" s="24">
        <v>679</v>
      </c>
      <c r="BC200" s="23">
        <v>224</v>
      </c>
      <c r="BD200" s="24">
        <v>616</v>
      </c>
      <c r="BE200" s="23">
        <v>209</v>
      </c>
      <c r="BF200" s="24">
        <v>63</v>
      </c>
      <c r="BG200" s="23">
        <v>56</v>
      </c>
      <c r="BH200" s="24">
        <v>388</v>
      </c>
      <c r="BI200" s="23">
        <v>129</v>
      </c>
      <c r="BJ200" s="24">
        <v>388</v>
      </c>
      <c r="BK200" s="23">
        <v>129</v>
      </c>
      <c r="BL200" s="24">
        <v>0</v>
      </c>
      <c r="BM200" s="20">
        <v>17</v>
      </c>
      <c r="BN200" s="19">
        <v>5287</v>
      </c>
      <c r="BO200" s="23">
        <v>580</v>
      </c>
      <c r="BP200" s="24">
        <v>1002</v>
      </c>
      <c r="BQ200" s="23">
        <v>242</v>
      </c>
      <c r="BR200" s="24">
        <v>993</v>
      </c>
      <c r="BS200" s="23">
        <v>242</v>
      </c>
      <c r="BT200" s="26">
        <v>9</v>
      </c>
      <c r="BU200" s="23">
        <v>14</v>
      </c>
      <c r="BV200" s="24">
        <v>3360</v>
      </c>
      <c r="BW200" s="23">
        <v>375</v>
      </c>
      <c r="BX200" s="24">
        <v>3325</v>
      </c>
      <c r="BY200" s="23">
        <v>377</v>
      </c>
      <c r="BZ200" s="24">
        <v>35</v>
      </c>
      <c r="CA200" s="23">
        <v>39</v>
      </c>
      <c r="CB200" s="24">
        <v>925</v>
      </c>
      <c r="CC200" s="23">
        <v>210</v>
      </c>
      <c r="CD200" s="24">
        <v>925</v>
      </c>
      <c r="CE200" s="23">
        <v>210</v>
      </c>
      <c r="CF200" s="24">
        <v>0</v>
      </c>
      <c r="CG200" s="20">
        <v>17</v>
      </c>
    </row>
    <row r="201" spans="1:85" x14ac:dyDescent="0.3">
      <c r="A201" t="s">
        <v>401</v>
      </c>
      <c r="B201">
        <v>21085</v>
      </c>
      <c r="C201" t="s">
        <v>402</v>
      </c>
      <c r="D201" s="19">
        <v>16116</v>
      </c>
      <c r="E201" s="20">
        <v>620</v>
      </c>
      <c r="F201" s="19">
        <v>1784</v>
      </c>
      <c r="G201" s="23">
        <v>588</v>
      </c>
      <c r="H201" s="24">
        <v>449</v>
      </c>
      <c r="I201" s="23">
        <v>228</v>
      </c>
      <c r="J201" s="24">
        <v>405</v>
      </c>
      <c r="K201" s="23">
        <v>214</v>
      </c>
      <c r="L201" s="24">
        <v>44</v>
      </c>
      <c r="M201" s="23">
        <v>60</v>
      </c>
      <c r="N201" s="24">
        <v>1043</v>
      </c>
      <c r="O201" s="23">
        <v>413</v>
      </c>
      <c r="P201" s="24">
        <v>821</v>
      </c>
      <c r="Q201" s="23">
        <v>345</v>
      </c>
      <c r="R201" s="24">
        <v>222</v>
      </c>
      <c r="S201" s="23">
        <v>157</v>
      </c>
      <c r="T201" s="24">
        <v>292</v>
      </c>
      <c r="U201" s="23">
        <v>155</v>
      </c>
      <c r="V201" s="24">
        <v>292</v>
      </c>
      <c r="W201" s="23">
        <v>155</v>
      </c>
      <c r="X201" s="24">
        <v>0</v>
      </c>
      <c r="Y201" s="20">
        <v>38</v>
      </c>
      <c r="Z201" s="19">
        <v>1265</v>
      </c>
      <c r="AA201" s="23">
        <v>359</v>
      </c>
      <c r="AB201" s="24">
        <v>295</v>
      </c>
      <c r="AC201" s="23">
        <v>158</v>
      </c>
      <c r="AD201" s="24">
        <v>289</v>
      </c>
      <c r="AE201" s="23">
        <v>157</v>
      </c>
      <c r="AF201" s="24">
        <v>6</v>
      </c>
      <c r="AG201" s="23">
        <v>8</v>
      </c>
      <c r="AH201" s="24">
        <v>559</v>
      </c>
      <c r="AI201" s="23">
        <v>182</v>
      </c>
      <c r="AJ201" s="24">
        <v>554</v>
      </c>
      <c r="AK201" s="23">
        <v>182</v>
      </c>
      <c r="AL201" s="24">
        <v>5</v>
      </c>
      <c r="AM201" s="23">
        <v>7</v>
      </c>
      <c r="AN201" s="24">
        <v>411</v>
      </c>
      <c r="AO201" s="23">
        <v>127</v>
      </c>
      <c r="AP201" s="24">
        <v>411</v>
      </c>
      <c r="AQ201" s="23">
        <v>127</v>
      </c>
      <c r="AR201" s="24">
        <v>0</v>
      </c>
      <c r="AS201" s="20">
        <v>19</v>
      </c>
      <c r="AT201" s="19">
        <v>4927</v>
      </c>
      <c r="AU201" s="23">
        <v>600</v>
      </c>
      <c r="AV201" s="24">
        <v>1403</v>
      </c>
      <c r="AW201" s="23">
        <v>292</v>
      </c>
      <c r="AX201" s="24">
        <v>1365</v>
      </c>
      <c r="AY201" s="23">
        <v>287</v>
      </c>
      <c r="AZ201" s="24">
        <v>38</v>
      </c>
      <c r="BA201" s="23">
        <v>31</v>
      </c>
      <c r="BB201" s="24">
        <v>2711</v>
      </c>
      <c r="BC201" s="23">
        <v>403</v>
      </c>
      <c r="BD201" s="24">
        <v>2581</v>
      </c>
      <c r="BE201" s="23">
        <v>378</v>
      </c>
      <c r="BF201" s="24">
        <v>130</v>
      </c>
      <c r="BG201" s="23">
        <v>71</v>
      </c>
      <c r="BH201" s="24">
        <v>813</v>
      </c>
      <c r="BI201" s="23">
        <v>168</v>
      </c>
      <c r="BJ201" s="24">
        <v>813</v>
      </c>
      <c r="BK201" s="23">
        <v>168</v>
      </c>
      <c r="BL201" s="24">
        <v>0</v>
      </c>
      <c r="BM201" s="20">
        <v>19</v>
      </c>
      <c r="BN201" s="19">
        <v>8140</v>
      </c>
      <c r="BO201" s="23">
        <v>668</v>
      </c>
      <c r="BP201" s="24">
        <v>1330</v>
      </c>
      <c r="BQ201" s="23">
        <v>246</v>
      </c>
      <c r="BR201" s="24">
        <v>1303</v>
      </c>
      <c r="BS201" s="23">
        <v>243</v>
      </c>
      <c r="BT201" s="26">
        <v>27</v>
      </c>
      <c r="BU201" s="23">
        <v>24</v>
      </c>
      <c r="BV201" s="24">
        <v>5609</v>
      </c>
      <c r="BW201" s="23">
        <v>482</v>
      </c>
      <c r="BX201" s="24">
        <v>5497</v>
      </c>
      <c r="BY201" s="23">
        <v>486</v>
      </c>
      <c r="BZ201" s="24">
        <v>112</v>
      </c>
      <c r="CA201" s="23">
        <v>44</v>
      </c>
      <c r="CB201" s="24">
        <v>1201</v>
      </c>
      <c r="CC201" s="23">
        <v>204</v>
      </c>
      <c r="CD201" s="24">
        <v>1201</v>
      </c>
      <c r="CE201" s="23">
        <v>204</v>
      </c>
      <c r="CF201" s="24">
        <v>0</v>
      </c>
      <c r="CG201" s="20">
        <v>19</v>
      </c>
    </row>
    <row r="202" spans="1:85" x14ac:dyDescent="0.3">
      <c r="A202" t="s">
        <v>403</v>
      </c>
      <c r="B202">
        <v>21087</v>
      </c>
      <c r="C202" t="s">
        <v>404</v>
      </c>
      <c r="D202" s="19">
        <v>5531</v>
      </c>
      <c r="E202" s="20">
        <v>319</v>
      </c>
      <c r="F202" s="19">
        <v>352</v>
      </c>
      <c r="G202" s="23">
        <v>262</v>
      </c>
      <c r="H202" s="24">
        <v>93</v>
      </c>
      <c r="I202" s="23">
        <v>102</v>
      </c>
      <c r="J202" s="24">
        <v>93</v>
      </c>
      <c r="K202" s="23">
        <v>102</v>
      </c>
      <c r="L202" s="24">
        <v>0</v>
      </c>
      <c r="M202" s="23">
        <v>34</v>
      </c>
      <c r="N202" s="24">
        <v>209</v>
      </c>
      <c r="O202" s="23">
        <v>187</v>
      </c>
      <c r="P202" s="24">
        <v>191</v>
      </c>
      <c r="Q202" s="23">
        <v>179</v>
      </c>
      <c r="R202" s="24">
        <v>18</v>
      </c>
      <c r="S202" s="23">
        <v>27</v>
      </c>
      <c r="T202" s="24">
        <v>50</v>
      </c>
      <c r="U202" s="23">
        <v>48</v>
      </c>
      <c r="V202" s="24">
        <v>50</v>
      </c>
      <c r="W202" s="23">
        <v>48</v>
      </c>
      <c r="X202" s="24">
        <v>0</v>
      </c>
      <c r="Y202" s="20">
        <v>34</v>
      </c>
      <c r="Z202" s="19">
        <v>386</v>
      </c>
      <c r="AA202" s="23">
        <v>200</v>
      </c>
      <c r="AB202" s="24">
        <v>113</v>
      </c>
      <c r="AC202" s="23">
        <v>86</v>
      </c>
      <c r="AD202" s="24">
        <v>113</v>
      </c>
      <c r="AE202" s="23">
        <v>86</v>
      </c>
      <c r="AF202" s="24">
        <v>0</v>
      </c>
      <c r="AG202" s="23">
        <v>17</v>
      </c>
      <c r="AH202" s="24">
        <v>205</v>
      </c>
      <c r="AI202" s="23">
        <v>146</v>
      </c>
      <c r="AJ202" s="24">
        <v>191</v>
      </c>
      <c r="AK202" s="23">
        <v>144</v>
      </c>
      <c r="AL202" s="24">
        <v>14</v>
      </c>
      <c r="AM202" s="23">
        <v>21</v>
      </c>
      <c r="AN202" s="24">
        <v>68</v>
      </c>
      <c r="AO202" s="23">
        <v>37</v>
      </c>
      <c r="AP202" s="24">
        <v>68</v>
      </c>
      <c r="AQ202" s="23">
        <v>37</v>
      </c>
      <c r="AR202" s="24">
        <v>0</v>
      </c>
      <c r="AS202" s="20">
        <v>17</v>
      </c>
      <c r="AT202" s="19">
        <v>947</v>
      </c>
      <c r="AU202" s="23">
        <v>247</v>
      </c>
      <c r="AV202" s="24">
        <v>124</v>
      </c>
      <c r="AW202" s="23">
        <v>61</v>
      </c>
      <c r="AX202" s="24">
        <v>124</v>
      </c>
      <c r="AY202" s="23">
        <v>61</v>
      </c>
      <c r="AZ202" s="24">
        <v>0</v>
      </c>
      <c r="BA202" s="23">
        <v>17</v>
      </c>
      <c r="BB202" s="24">
        <v>496</v>
      </c>
      <c r="BC202" s="23">
        <v>165</v>
      </c>
      <c r="BD202" s="24">
        <v>472</v>
      </c>
      <c r="BE202" s="23">
        <v>159</v>
      </c>
      <c r="BF202" s="24">
        <v>24</v>
      </c>
      <c r="BG202" s="23">
        <v>23</v>
      </c>
      <c r="BH202" s="24">
        <v>327</v>
      </c>
      <c r="BI202" s="23">
        <v>100</v>
      </c>
      <c r="BJ202" s="24">
        <v>327</v>
      </c>
      <c r="BK202" s="23">
        <v>100</v>
      </c>
      <c r="BL202" s="24">
        <v>0</v>
      </c>
      <c r="BM202" s="20">
        <v>17</v>
      </c>
      <c r="BN202" s="19">
        <v>3846</v>
      </c>
      <c r="BO202" s="23">
        <v>330</v>
      </c>
      <c r="BP202" s="24">
        <v>640</v>
      </c>
      <c r="BQ202" s="23">
        <v>127</v>
      </c>
      <c r="BR202" s="24">
        <v>623</v>
      </c>
      <c r="BS202" s="23">
        <v>122</v>
      </c>
      <c r="BT202" s="26">
        <v>17</v>
      </c>
      <c r="BU202" s="23">
        <v>24</v>
      </c>
      <c r="BV202" s="24">
        <v>2435</v>
      </c>
      <c r="BW202" s="23">
        <v>245</v>
      </c>
      <c r="BX202" s="24">
        <v>2321</v>
      </c>
      <c r="BY202" s="23">
        <v>230</v>
      </c>
      <c r="BZ202" s="24">
        <v>114</v>
      </c>
      <c r="CA202" s="23">
        <v>64</v>
      </c>
      <c r="CB202" s="24">
        <v>771</v>
      </c>
      <c r="CC202" s="23">
        <v>161</v>
      </c>
      <c r="CD202" s="24">
        <v>771</v>
      </c>
      <c r="CE202" s="23">
        <v>161</v>
      </c>
      <c r="CF202" s="24">
        <v>0</v>
      </c>
      <c r="CG202" s="20">
        <v>17</v>
      </c>
    </row>
    <row r="203" spans="1:85" x14ac:dyDescent="0.3">
      <c r="A203" t="s">
        <v>405</v>
      </c>
      <c r="B203">
        <v>21090</v>
      </c>
      <c r="C203" t="s">
        <v>406</v>
      </c>
      <c r="D203" s="19">
        <v>10377</v>
      </c>
      <c r="E203" s="20">
        <v>606</v>
      </c>
      <c r="F203" s="19">
        <v>845</v>
      </c>
      <c r="G203" s="23">
        <v>350</v>
      </c>
      <c r="H203" s="24">
        <v>221</v>
      </c>
      <c r="I203" s="23">
        <v>178</v>
      </c>
      <c r="J203" s="24">
        <v>211</v>
      </c>
      <c r="K203" s="23">
        <v>178</v>
      </c>
      <c r="L203" s="24">
        <v>10</v>
      </c>
      <c r="M203" s="23">
        <v>35</v>
      </c>
      <c r="N203" s="24">
        <v>466</v>
      </c>
      <c r="O203" s="23">
        <v>191</v>
      </c>
      <c r="P203" s="24">
        <v>371</v>
      </c>
      <c r="Q203" s="23">
        <v>167</v>
      </c>
      <c r="R203" s="24">
        <v>95</v>
      </c>
      <c r="S203" s="23">
        <v>92</v>
      </c>
      <c r="T203" s="24">
        <v>158</v>
      </c>
      <c r="U203" s="23">
        <v>93</v>
      </c>
      <c r="V203" s="24">
        <v>158</v>
      </c>
      <c r="W203" s="23">
        <v>93</v>
      </c>
      <c r="X203" s="24">
        <v>0</v>
      </c>
      <c r="Y203" s="20">
        <v>38</v>
      </c>
      <c r="Z203" s="19">
        <v>599</v>
      </c>
      <c r="AA203" s="23">
        <v>247</v>
      </c>
      <c r="AB203" s="24">
        <v>116</v>
      </c>
      <c r="AC203" s="23">
        <v>94</v>
      </c>
      <c r="AD203" s="24">
        <v>104</v>
      </c>
      <c r="AE203" s="23">
        <v>92</v>
      </c>
      <c r="AF203" s="24">
        <v>12</v>
      </c>
      <c r="AG203" s="23">
        <v>18</v>
      </c>
      <c r="AH203" s="24">
        <v>264</v>
      </c>
      <c r="AI203" s="23">
        <v>108</v>
      </c>
      <c r="AJ203" s="24">
        <v>158</v>
      </c>
      <c r="AK203" s="23">
        <v>73</v>
      </c>
      <c r="AL203" s="24">
        <v>106</v>
      </c>
      <c r="AM203" s="23">
        <v>74</v>
      </c>
      <c r="AN203" s="24">
        <v>219</v>
      </c>
      <c r="AO203" s="23">
        <v>112</v>
      </c>
      <c r="AP203" s="24">
        <v>219</v>
      </c>
      <c r="AQ203" s="23">
        <v>112</v>
      </c>
      <c r="AR203" s="24">
        <v>0</v>
      </c>
      <c r="AS203" s="20">
        <v>19</v>
      </c>
      <c r="AT203" s="19">
        <v>2493</v>
      </c>
      <c r="AU203" s="23">
        <v>548</v>
      </c>
      <c r="AV203" s="24">
        <v>670</v>
      </c>
      <c r="AW203" s="23">
        <v>244</v>
      </c>
      <c r="AX203" s="24">
        <v>670</v>
      </c>
      <c r="AY203" s="23">
        <v>244</v>
      </c>
      <c r="AZ203" s="24">
        <v>0</v>
      </c>
      <c r="BA203" s="23">
        <v>19</v>
      </c>
      <c r="BB203" s="24">
        <v>1242</v>
      </c>
      <c r="BC203" s="23">
        <v>327</v>
      </c>
      <c r="BD203" s="24">
        <v>1210</v>
      </c>
      <c r="BE203" s="23">
        <v>306</v>
      </c>
      <c r="BF203" s="24">
        <v>32</v>
      </c>
      <c r="BG203" s="23">
        <v>52</v>
      </c>
      <c r="BH203" s="24">
        <v>581</v>
      </c>
      <c r="BI203" s="23">
        <v>144</v>
      </c>
      <c r="BJ203" s="24">
        <v>581</v>
      </c>
      <c r="BK203" s="23">
        <v>144</v>
      </c>
      <c r="BL203" s="24">
        <v>0</v>
      </c>
      <c r="BM203" s="20">
        <v>19</v>
      </c>
      <c r="BN203" s="19">
        <v>6440</v>
      </c>
      <c r="BO203" s="23">
        <v>599</v>
      </c>
      <c r="BP203" s="24">
        <v>1361</v>
      </c>
      <c r="BQ203" s="23">
        <v>247</v>
      </c>
      <c r="BR203" s="24">
        <v>1350</v>
      </c>
      <c r="BS203" s="23">
        <v>245</v>
      </c>
      <c r="BT203" s="26">
        <v>11</v>
      </c>
      <c r="BU203" s="23">
        <v>16</v>
      </c>
      <c r="BV203" s="24">
        <v>4251</v>
      </c>
      <c r="BW203" s="23">
        <v>402</v>
      </c>
      <c r="BX203" s="24">
        <v>3948</v>
      </c>
      <c r="BY203" s="23">
        <v>403</v>
      </c>
      <c r="BZ203" s="24">
        <v>303</v>
      </c>
      <c r="CA203" s="23">
        <v>132</v>
      </c>
      <c r="CB203" s="24">
        <v>828</v>
      </c>
      <c r="CC203" s="23">
        <v>148</v>
      </c>
      <c r="CD203" s="24">
        <v>828</v>
      </c>
      <c r="CE203" s="23">
        <v>148</v>
      </c>
      <c r="CF203" s="24">
        <v>0</v>
      </c>
      <c r="CG203" s="20">
        <v>19</v>
      </c>
    </row>
    <row r="204" spans="1:85" x14ac:dyDescent="0.3">
      <c r="A204" t="s">
        <v>407</v>
      </c>
      <c r="B204">
        <v>21093</v>
      </c>
      <c r="C204" t="s">
        <v>408</v>
      </c>
      <c r="D204" s="19">
        <v>37262</v>
      </c>
      <c r="E204" s="20">
        <v>951</v>
      </c>
      <c r="F204" s="19">
        <v>2225</v>
      </c>
      <c r="G204" s="23">
        <v>702</v>
      </c>
      <c r="H204" s="24">
        <v>371</v>
      </c>
      <c r="I204" s="23">
        <v>205</v>
      </c>
      <c r="J204" s="24">
        <v>371</v>
      </c>
      <c r="K204" s="23">
        <v>205</v>
      </c>
      <c r="L204" s="24">
        <v>0</v>
      </c>
      <c r="M204" s="23">
        <v>50</v>
      </c>
      <c r="N204" s="24">
        <v>1266</v>
      </c>
      <c r="O204" s="23">
        <v>496</v>
      </c>
      <c r="P204" s="24">
        <v>1021</v>
      </c>
      <c r="Q204" s="23">
        <v>439</v>
      </c>
      <c r="R204" s="24">
        <v>245</v>
      </c>
      <c r="S204" s="23">
        <v>140</v>
      </c>
      <c r="T204" s="24">
        <v>588</v>
      </c>
      <c r="U204" s="23">
        <v>266</v>
      </c>
      <c r="V204" s="24">
        <v>588</v>
      </c>
      <c r="W204" s="23">
        <v>266</v>
      </c>
      <c r="X204" s="24">
        <v>0</v>
      </c>
      <c r="Y204" s="20">
        <v>50</v>
      </c>
      <c r="Z204" s="19">
        <v>1783</v>
      </c>
      <c r="AA204" s="23">
        <v>408</v>
      </c>
      <c r="AB204" s="24">
        <v>384</v>
      </c>
      <c r="AC204" s="23">
        <v>184</v>
      </c>
      <c r="AD204" s="24">
        <v>352</v>
      </c>
      <c r="AE204" s="23">
        <v>174</v>
      </c>
      <c r="AF204" s="24">
        <v>32</v>
      </c>
      <c r="AG204" s="23">
        <v>47</v>
      </c>
      <c r="AH204" s="24">
        <v>811</v>
      </c>
      <c r="AI204" s="23">
        <v>235</v>
      </c>
      <c r="AJ204" s="24">
        <v>693</v>
      </c>
      <c r="AK204" s="23">
        <v>224</v>
      </c>
      <c r="AL204" s="24">
        <v>118</v>
      </c>
      <c r="AM204" s="23">
        <v>74</v>
      </c>
      <c r="AN204" s="24">
        <v>588</v>
      </c>
      <c r="AO204" s="23">
        <v>171</v>
      </c>
      <c r="AP204" s="24">
        <v>588</v>
      </c>
      <c r="AQ204" s="23">
        <v>171</v>
      </c>
      <c r="AR204" s="24">
        <v>0</v>
      </c>
      <c r="AS204" s="20">
        <v>25</v>
      </c>
      <c r="AT204" s="19">
        <v>7944</v>
      </c>
      <c r="AU204" s="23">
        <v>845</v>
      </c>
      <c r="AV204" s="24">
        <v>1730</v>
      </c>
      <c r="AW204" s="23">
        <v>352</v>
      </c>
      <c r="AX204" s="24">
        <v>1678</v>
      </c>
      <c r="AY204" s="23">
        <v>342</v>
      </c>
      <c r="AZ204" s="24">
        <v>52</v>
      </c>
      <c r="BA204" s="23">
        <v>78</v>
      </c>
      <c r="BB204" s="24">
        <v>4087</v>
      </c>
      <c r="BC204" s="23">
        <v>536</v>
      </c>
      <c r="BD204" s="24">
        <v>3802</v>
      </c>
      <c r="BE204" s="23">
        <v>550</v>
      </c>
      <c r="BF204" s="24">
        <v>285</v>
      </c>
      <c r="BG204" s="23">
        <v>167</v>
      </c>
      <c r="BH204" s="24">
        <v>2127</v>
      </c>
      <c r="BI204" s="23">
        <v>313</v>
      </c>
      <c r="BJ204" s="24">
        <v>2107</v>
      </c>
      <c r="BK204" s="23">
        <v>316</v>
      </c>
      <c r="BL204" s="24">
        <v>20</v>
      </c>
      <c r="BM204" s="20">
        <v>30</v>
      </c>
      <c r="BN204" s="19">
        <v>25310</v>
      </c>
      <c r="BO204" s="23">
        <v>1234</v>
      </c>
      <c r="BP204" s="24">
        <v>5496</v>
      </c>
      <c r="BQ204" s="23">
        <v>526</v>
      </c>
      <c r="BR204" s="24">
        <v>5445</v>
      </c>
      <c r="BS204" s="23">
        <v>514</v>
      </c>
      <c r="BT204" s="26">
        <v>51</v>
      </c>
      <c r="BU204" s="23">
        <v>48</v>
      </c>
      <c r="BV204" s="24">
        <v>15042</v>
      </c>
      <c r="BW204" s="23">
        <v>736</v>
      </c>
      <c r="BX204" s="24">
        <v>14787</v>
      </c>
      <c r="BY204" s="23">
        <v>732</v>
      </c>
      <c r="BZ204" s="24">
        <v>255</v>
      </c>
      <c r="CA204" s="23">
        <v>99</v>
      </c>
      <c r="CB204" s="24">
        <v>4772</v>
      </c>
      <c r="CC204" s="23">
        <v>365</v>
      </c>
      <c r="CD204" s="24">
        <v>4772</v>
      </c>
      <c r="CE204" s="23">
        <v>365</v>
      </c>
      <c r="CF204" s="24">
        <v>0</v>
      </c>
      <c r="CG204" s="20">
        <v>25</v>
      </c>
    </row>
    <row r="205" spans="1:85" x14ac:dyDescent="0.3">
      <c r="A205" t="s">
        <v>409</v>
      </c>
      <c r="B205">
        <v>21102</v>
      </c>
      <c r="C205" t="s">
        <v>410</v>
      </c>
      <c r="D205" s="19">
        <v>10531</v>
      </c>
      <c r="E205" s="20">
        <v>456</v>
      </c>
      <c r="F205" s="19">
        <v>629</v>
      </c>
      <c r="G205" s="23">
        <v>410</v>
      </c>
      <c r="H205" s="24">
        <v>204</v>
      </c>
      <c r="I205" s="23">
        <v>236</v>
      </c>
      <c r="J205" s="24">
        <v>185</v>
      </c>
      <c r="K205" s="23">
        <v>235</v>
      </c>
      <c r="L205" s="24">
        <v>19</v>
      </c>
      <c r="M205" s="23">
        <v>46</v>
      </c>
      <c r="N205" s="24">
        <v>380</v>
      </c>
      <c r="O205" s="23">
        <v>219</v>
      </c>
      <c r="P205" s="24">
        <v>357</v>
      </c>
      <c r="Q205" s="23">
        <v>206</v>
      </c>
      <c r="R205" s="24">
        <v>23</v>
      </c>
      <c r="S205" s="23">
        <v>54</v>
      </c>
      <c r="T205" s="24">
        <v>45</v>
      </c>
      <c r="U205" s="23">
        <v>38</v>
      </c>
      <c r="V205" s="24">
        <v>45</v>
      </c>
      <c r="W205" s="23">
        <v>38</v>
      </c>
      <c r="X205" s="24">
        <v>0</v>
      </c>
      <c r="Y205" s="20">
        <v>38</v>
      </c>
      <c r="Z205" s="19">
        <v>374</v>
      </c>
      <c r="AA205" s="23">
        <v>187</v>
      </c>
      <c r="AB205" s="24">
        <v>91</v>
      </c>
      <c r="AC205" s="23">
        <v>73</v>
      </c>
      <c r="AD205" s="24">
        <v>91</v>
      </c>
      <c r="AE205" s="23">
        <v>73</v>
      </c>
      <c r="AF205" s="24">
        <v>0</v>
      </c>
      <c r="AG205" s="23">
        <v>19</v>
      </c>
      <c r="AH205" s="24">
        <v>177</v>
      </c>
      <c r="AI205" s="23">
        <v>99</v>
      </c>
      <c r="AJ205" s="24">
        <v>177</v>
      </c>
      <c r="AK205" s="23">
        <v>99</v>
      </c>
      <c r="AL205" s="24">
        <v>0</v>
      </c>
      <c r="AM205" s="23">
        <v>19</v>
      </c>
      <c r="AN205" s="24">
        <v>106</v>
      </c>
      <c r="AO205" s="23">
        <v>81</v>
      </c>
      <c r="AP205" s="24">
        <v>106</v>
      </c>
      <c r="AQ205" s="23">
        <v>81</v>
      </c>
      <c r="AR205" s="24">
        <v>0</v>
      </c>
      <c r="AS205" s="20">
        <v>19</v>
      </c>
      <c r="AT205" s="19">
        <v>3213</v>
      </c>
      <c r="AU205" s="23">
        <v>454</v>
      </c>
      <c r="AV205" s="24">
        <v>882</v>
      </c>
      <c r="AW205" s="23">
        <v>191</v>
      </c>
      <c r="AX205" s="24">
        <v>882</v>
      </c>
      <c r="AY205" s="23">
        <v>191</v>
      </c>
      <c r="AZ205" s="24">
        <v>0</v>
      </c>
      <c r="BA205" s="23">
        <v>19</v>
      </c>
      <c r="BB205" s="24">
        <v>1860</v>
      </c>
      <c r="BC205" s="23">
        <v>282</v>
      </c>
      <c r="BD205" s="24">
        <v>1754</v>
      </c>
      <c r="BE205" s="23">
        <v>281</v>
      </c>
      <c r="BF205" s="24">
        <v>106</v>
      </c>
      <c r="BG205" s="23">
        <v>51</v>
      </c>
      <c r="BH205" s="24">
        <v>471</v>
      </c>
      <c r="BI205" s="23">
        <v>118</v>
      </c>
      <c r="BJ205" s="24">
        <v>471</v>
      </c>
      <c r="BK205" s="23">
        <v>118</v>
      </c>
      <c r="BL205" s="24">
        <v>0</v>
      </c>
      <c r="BM205" s="20">
        <v>19</v>
      </c>
      <c r="BN205" s="19">
        <v>6315</v>
      </c>
      <c r="BO205" s="23">
        <v>611</v>
      </c>
      <c r="BP205" s="24">
        <v>1273</v>
      </c>
      <c r="BQ205" s="23">
        <v>232</v>
      </c>
      <c r="BR205" s="24">
        <v>1273</v>
      </c>
      <c r="BS205" s="23">
        <v>232</v>
      </c>
      <c r="BT205" s="26">
        <v>0</v>
      </c>
      <c r="BU205" s="23">
        <v>19</v>
      </c>
      <c r="BV205" s="24">
        <v>4082</v>
      </c>
      <c r="BW205" s="23">
        <v>435</v>
      </c>
      <c r="BX205" s="24">
        <v>4010</v>
      </c>
      <c r="BY205" s="23">
        <v>413</v>
      </c>
      <c r="BZ205" s="24">
        <v>72</v>
      </c>
      <c r="CA205" s="23">
        <v>56</v>
      </c>
      <c r="CB205" s="24">
        <v>960</v>
      </c>
      <c r="CC205" s="23">
        <v>170</v>
      </c>
      <c r="CD205" s="24">
        <v>960</v>
      </c>
      <c r="CE205" s="23">
        <v>170</v>
      </c>
      <c r="CF205" s="24">
        <v>0</v>
      </c>
      <c r="CG205" s="20">
        <v>19</v>
      </c>
    </row>
    <row r="206" spans="1:85" x14ac:dyDescent="0.3">
      <c r="A206" t="s">
        <v>411</v>
      </c>
      <c r="B206">
        <v>21104</v>
      </c>
      <c r="C206" t="s">
        <v>412</v>
      </c>
      <c r="D206" s="19">
        <v>4748</v>
      </c>
      <c r="E206" s="20">
        <v>458</v>
      </c>
      <c r="F206" s="19">
        <v>57</v>
      </c>
      <c r="G206" s="23">
        <v>61</v>
      </c>
      <c r="H206" s="24">
        <v>11</v>
      </c>
      <c r="I206" s="23">
        <v>29</v>
      </c>
      <c r="J206" s="24">
        <v>11</v>
      </c>
      <c r="K206" s="23">
        <v>29</v>
      </c>
      <c r="L206" s="24">
        <v>0</v>
      </c>
      <c r="M206" s="23">
        <v>24</v>
      </c>
      <c r="N206" s="24">
        <v>42</v>
      </c>
      <c r="O206" s="23">
        <v>44</v>
      </c>
      <c r="P206" s="24">
        <v>42</v>
      </c>
      <c r="Q206" s="23">
        <v>44</v>
      </c>
      <c r="R206" s="24">
        <v>0</v>
      </c>
      <c r="S206" s="23">
        <v>24</v>
      </c>
      <c r="T206" s="24">
        <v>4</v>
      </c>
      <c r="U206" s="23">
        <v>18</v>
      </c>
      <c r="V206" s="24">
        <v>4</v>
      </c>
      <c r="W206" s="23">
        <v>18</v>
      </c>
      <c r="X206" s="24">
        <v>0</v>
      </c>
      <c r="Y206" s="20">
        <v>24</v>
      </c>
      <c r="Z206" s="19">
        <v>90</v>
      </c>
      <c r="AA206" s="23">
        <v>68</v>
      </c>
      <c r="AB206" s="24">
        <v>6</v>
      </c>
      <c r="AC206" s="23">
        <v>12</v>
      </c>
      <c r="AD206" s="24">
        <v>6</v>
      </c>
      <c r="AE206" s="23">
        <v>12</v>
      </c>
      <c r="AF206" s="24">
        <v>0</v>
      </c>
      <c r="AG206" s="23">
        <v>12</v>
      </c>
      <c r="AH206" s="24">
        <v>50</v>
      </c>
      <c r="AI206" s="23">
        <v>48</v>
      </c>
      <c r="AJ206" s="24">
        <v>43</v>
      </c>
      <c r="AK206" s="23">
        <v>42</v>
      </c>
      <c r="AL206" s="24">
        <v>7</v>
      </c>
      <c r="AM206" s="23">
        <v>12</v>
      </c>
      <c r="AN206" s="24">
        <v>34</v>
      </c>
      <c r="AO206" s="23">
        <v>33</v>
      </c>
      <c r="AP206" s="24">
        <v>34</v>
      </c>
      <c r="AQ206" s="23">
        <v>33</v>
      </c>
      <c r="AR206" s="24">
        <v>0</v>
      </c>
      <c r="AS206" s="20">
        <v>12</v>
      </c>
      <c r="AT206" s="19">
        <v>684</v>
      </c>
      <c r="AU206" s="23">
        <v>308</v>
      </c>
      <c r="AV206" s="24">
        <v>146</v>
      </c>
      <c r="AW206" s="23">
        <v>103</v>
      </c>
      <c r="AX206" s="24">
        <v>146</v>
      </c>
      <c r="AY206" s="23">
        <v>103</v>
      </c>
      <c r="AZ206" s="24">
        <v>0</v>
      </c>
      <c r="BA206" s="23">
        <v>12</v>
      </c>
      <c r="BB206" s="24">
        <v>267</v>
      </c>
      <c r="BC206" s="23">
        <v>145</v>
      </c>
      <c r="BD206" s="24">
        <v>217</v>
      </c>
      <c r="BE206" s="23">
        <v>122</v>
      </c>
      <c r="BF206" s="24">
        <v>50</v>
      </c>
      <c r="BG206" s="23">
        <v>62</v>
      </c>
      <c r="BH206" s="24">
        <v>271</v>
      </c>
      <c r="BI206" s="23">
        <v>135</v>
      </c>
      <c r="BJ206" s="24">
        <v>271</v>
      </c>
      <c r="BK206" s="23">
        <v>135</v>
      </c>
      <c r="BL206" s="24">
        <v>0</v>
      </c>
      <c r="BM206" s="20">
        <v>12</v>
      </c>
      <c r="BN206" s="19">
        <v>3917</v>
      </c>
      <c r="BO206" s="23">
        <v>407</v>
      </c>
      <c r="BP206" s="24">
        <v>782</v>
      </c>
      <c r="BQ206" s="23">
        <v>159</v>
      </c>
      <c r="BR206" s="24">
        <v>782</v>
      </c>
      <c r="BS206" s="23">
        <v>159</v>
      </c>
      <c r="BT206" s="26">
        <v>0</v>
      </c>
      <c r="BU206" s="23">
        <v>12</v>
      </c>
      <c r="BV206" s="24">
        <v>2388</v>
      </c>
      <c r="BW206" s="23">
        <v>300</v>
      </c>
      <c r="BX206" s="24">
        <v>2344</v>
      </c>
      <c r="BY206" s="23">
        <v>292</v>
      </c>
      <c r="BZ206" s="24">
        <v>44</v>
      </c>
      <c r="CA206" s="23">
        <v>53</v>
      </c>
      <c r="CB206" s="24">
        <v>747</v>
      </c>
      <c r="CC206" s="23">
        <v>145</v>
      </c>
      <c r="CD206" s="24">
        <v>737</v>
      </c>
      <c r="CE206" s="23">
        <v>145</v>
      </c>
      <c r="CF206" s="24">
        <v>10</v>
      </c>
      <c r="CG206" s="20">
        <v>15</v>
      </c>
    </row>
    <row r="207" spans="1:85" x14ac:dyDescent="0.3">
      <c r="A207" t="s">
        <v>413</v>
      </c>
      <c r="B207">
        <v>21105</v>
      </c>
      <c r="C207" t="s">
        <v>414</v>
      </c>
      <c r="D207" s="19">
        <v>25</v>
      </c>
      <c r="E207" s="20">
        <v>38</v>
      </c>
      <c r="F207" s="19">
        <v>0</v>
      </c>
      <c r="G207" s="23">
        <v>24</v>
      </c>
      <c r="H207" s="24">
        <v>0</v>
      </c>
      <c r="I207" s="23">
        <v>24</v>
      </c>
      <c r="J207" s="24">
        <v>0</v>
      </c>
      <c r="K207" s="23">
        <v>24</v>
      </c>
      <c r="L207" s="24">
        <v>0</v>
      </c>
      <c r="M207" s="23">
        <v>24</v>
      </c>
      <c r="N207" s="24">
        <v>0</v>
      </c>
      <c r="O207" s="23">
        <v>24</v>
      </c>
      <c r="P207" s="24">
        <v>0</v>
      </c>
      <c r="Q207" s="23">
        <v>24</v>
      </c>
      <c r="R207" s="24">
        <v>0</v>
      </c>
      <c r="S207" s="23">
        <v>24</v>
      </c>
      <c r="T207" s="24">
        <v>0</v>
      </c>
      <c r="U207" s="23">
        <v>24</v>
      </c>
      <c r="V207" s="24">
        <v>0</v>
      </c>
      <c r="W207" s="23">
        <v>24</v>
      </c>
      <c r="X207" s="24">
        <v>0</v>
      </c>
      <c r="Y207" s="20">
        <v>24</v>
      </c>
      <c r="Z207" s="19">
        <v>0</v>
      </c>
      <c r="AA207" s="23">
        <v>12</v>
      </c>
      <c r="AB207" s="24">
        <v>0</v>
      </c>
      <c r="AC207" s="23">
        <v>12</v>
      </c>
      <c r="AD207" s="24">
        <v>0</v>
      </c>
      <c r="AE207" s="23">
        <v>12</v>
      </c>
      <c r="AF207" s="24">
        <v>0</v>
      </c>
      <c r="AG207" s="23">
        <v>12</v>
      </c>
      <c r="AH207" s="24">
        <v>0</v>
      </c>
      <c r="AI207" s="23">
        <v>12</v>
      </c>
      <c r="AJ207" s="24">
        <v>0</v>
      </c>
      <c r="AK207" s="23">
        <v>12</v>
      </c>
      <c r="AL207" s="24">
        <v>0</v>
      </c>
      <c r="AM207" s="23">
        <v>12</v>
      </c>
      <c r="AN207" s="24">
        <v>0</v>
      </c>
      <c r="AO207" s="23">
        <v>12</v>
      </c>
      <c r="AP207" s="24">
        <v>0</v>
      </c>
      <c r="AQ207" s="23">
        <v>12</v>
      </c>
      <c r="AR207" s="24">
        <v>0</v>
      </c>
      <c r="AS207" s="20">
        <v>12</v>
      </c>
      <c r="AT207" s="19">
        <v>25</v>
      </c>
      <c r="AU207" s="23">
        <v>38</v>
      </c>
      <c r="AV207" s="24">
        <v>0</v>
      </c>
      <c r="AW207" s="23">
        <v>12</v>
      </c>
      <c r="AX207" s="24">
        <v>0</v>
      </c>
      <c r="AY207" s="23">
        <v>12</v>
      </c>
      <c r="AZ207" s="24">
        <v>0</v>
      </c>
      <c r="BA207" s="23">
        <v>12</v>
      </c>
      <c r="BB207" s="24">
        <v>0</v>
      </c>
      <c r="BC207" s="23">
        <v>12</v>
      </c>
      <c r="BD207" s="24">
        <v>0</v>
      </c>
      <c r="BE207" s="23">
        <v>12</v>
      </c>
      <c r="BF207" s="24">
        <v>0</v>
      </c>
      <c r="BG207" s="23">
        <v>12</v>
      </c>
      <c r="BH207" s="24">
        <v>25</v>
      </c>
      <c r="BI207" s="23">
        <v>38</v>
      </c>
      <c r="BJ207" s="24">
        <v>25</v>
      </c>
      <c r="BK207" s="23">
        <v>38</v>
      </c>
      <c r="BL207" s="24">
        <v>0</v>
      </c>
      <c r="BM207" s="20">
        <v>12</v>
      </c>
      <c r="BN207" s="19">
        <v>0</v>
      </c>
      <c r="BO207" s="23">
        <v>12</v>
      </c>
      <c r="BP207" s="24">
        <v>0</v>
      </c>
      <c r="BQ207" s="23">
        <v>12</v>
      </c>
      <c r="BR207" s="24">
        <v>0</v>
      </c>
      <c r="BS207" s="23">
        <v>12</v>
      </c>
      <c r="BT207" s="26">
        <v>0</v>
      </c>
      <c r="BU207" s="23">
        <v>12</v>
      </c>
      <c r="BV207" s="24">
        <v>0</v>
      </c>
      <c r="BW207" s="23">
        <v>12</v>
      </c>
      <c r="BX207" s="24">
        <v>0</v>
      </c>
      <c r="BY207" s="23">
        <v>12</v>
      </c>
      <c r="BZ207" s="24">
        <v>0</v>
      </c>
      <c r="CA207" s="23">
        <v>12</v>
      </c>
      <c r="CB207" s="24">
        <v>0</v>
      </c>
      <c r="CC207" s="23">
        <v>12</v>
      </c>
      <c r="CD207" s="24">
        <v>0</v>
      </c>
      <c r="CE207" s="23">
        <v>12</v>
      </c>
      <c r="CF207" s="24">
        <v>0</v>
      </c>
      <c r="CG207" s="20">
        <v>12</v>
      </c>
    </row>
    <row r="208" spans="1:85" x14ac:dyDescent="0.3">
      <c r="A208" t="s">
        <v>415</v>
      </c>
      <c r="B208">
        <v>21108</v>
      </c>
      <c r="C208" t="s">
        <v>416</v>
      </c>
      <c r="D208" s="19">
        <v>18682</v>
      </c>
      <c r="E208" s="20">
        <v>873</v>
      </c>
      <c r="F208" s="19">
        <v>798</v>
      </c>
      <c r="G208" s="23">
        <v>463</v>
      </c>
      <c r="H208" s="24">
        <v>240</v>
      </c>
      <c r="I208" s="23">
        <v>203</v>
      </c>
      <c r="J208" s="24">
        <v>197</v>
      </c>
      <c r="K208" s="23">
        <v>185</v>
      </c>
      <c r="L208" s="24">
        <v>43</v>
      </c>
      <c r="M208" s="23">
        <v>82</v>
      </c>
      <c r="N208" s="24">
        <v>418</v>
      </c>
      <c r="O208" s="23">
        <v>243</v>
      </c>
      <c r="P208" s="24">
        <v>304</v>
      </c>
      <c r="Q208" s="23">
        <v>171</v>
      </c>
      <c r="R208" s="24">
        <v>114</v>
      </c>
      <c r="S208" s="23">
        <v>165</v>
      </c>
      <c r="T208" s="24">
        <v>140</v>
      </c>
      <c r="U208" s="23">
        <v>130</v>
      </c>
      <c r="V208" s="24">
        <v>139</v>
      </c>
      <c r="W208" s="23">
        <v>130</v>
      </c>
      <c r="X208" s="24">
        <v>1</v>
      </c>
      <c r="Y208" s="20">
        <v>22</v>
      </c>
      <c r="Z208" s="19">
        <v>449</v>
      </c>
      <c r="AA208" s="23">
        <v>312</v>
      </c>
      <c r="AB208" s="24">
        <v>171</v>
      </c>
      <c r="AC208" s="23">
        <v>184</v>
      </c>
      <c r="AD208" s="24">
        <v>171</v>
      </c>
      <c r="AE208" s="23">
        <v>184</v>
      </c>
      <c r="AF208" s="24">
        <v>0</v>
      </c>
      <c r="AG208" s="23">
        <v>19</v>
      </c>
      <c r="AH208" s="24">
        <v>205</v>
      </c>
      <c r="AI208" s="23">
        <v>133</v>
      </c>
      <c r="AJ208" s="24">
        <v>188</v>
      </c>
      <c r="AK208" s="23">
        <v>130</v>
      </c>
      <c r="AL208" s="24">
        <v>17</v>
      </c>
      <c r="AM208" s="23">
        <v>26</v>
      </c>
      <c r="AN208" s="24">
        <v>73</v>
      </c>
      <c r="AO208" s="23">
        <v>63</v>
      </c>
      <c r="AP208" s="24">
        <v>73</v>
      </c>
      <c r="AQ208" s="23">
        <v>63</v>
      </c>
      <c r="AR208" s="24">
        <v>0</v>
      </c>
      <c r="AS208" s="20">
        <v>19</v>
      </c>
      <c r="AT208" s="19">
        <v>3319</v>
      </c>
      <c r="AU208" s="23">
        <v>666</v>
      </c>
      <c r="AV208" s="24">
        <v>718</v>
      </c>
      <c r="AW208" s="23">
        <v>256</v>
      </c>
      <c r="AX208" s="24">
        <v>659</v>
      </c>
      <c r="AY208" s="23">
        <v>246</v>
      </c>
      <c r="AZ208" s="24">
        <v>59</v>
      </c>
      <c r="BA208" s="23">
        <v>75</v>
      </c>
      <c r="BB208" s="24">
        <v>1952</v>
      </c>
      <c r="BC208" s="23">
        <v>403</v>
      </c>
      <c r="BD208" s="24">
        <v>1765</v>
      </c>
      <c r="BE208" s="23">
        <v>387</v>
      </c>
      <c r="BF208" s="24">
        <v>187</v>
      </c>
      <c r="BG208" s="23">
        <v>124</v>
      </c>
      <c r="BH208" s="24">
        <v>649</v>
      </c>
      <c r="BI208" s="23">
        <v>232</v>
      </c>
      <c r="BJ208" s="24">
        <v>649</v>
      </c>
      <c r="BK208" s="23">
        <v>232</v>
      </c>
      <c r="BL208" s="24">
        <v>0</v>
      </c>
      <c r="BM208" s="20">
        <v>19</v>
      </c>
      <c r="BN208" s="19">
        <v>14116</v>
      </c>
      <c r="BO208" s="23">
        <v>923</v>
      </c>
      <c r="BP208" s="24">
        <v>3661</v>
      </c>
      <c r="BQ208" s="23">
        <v>464</v>
      </c>
      <c r="BR208" s="24">
        <v>3637</v>
      </c>
      <c r="BS208" s="23">
        <v>464</v>
      </c>
      <c r="BT208" s="26">
        <v>24</v>
      </c>
      <c r="BU208" s="23">
        <v>37</v>
      </c>
      <c r="BV208" s="24">
        <v>8565</v>
      </c>
      <c r="BW208" s="23">
        <v>541</v>
      </c>
      <c r="BX208" s="24">
        <v>8331</v>
      </c>
      <c r="BY208" s="23">
        <v>512</v>
      </c>
      <c r="BZ208" s="24">
        <v>234</v>
      </c>
      <c r="CA208" s="23">
        <v>149</v>
      </c>
      <c r="CB208" s="24">
        <v>1890</v>
      </c>
      <c r="CC208" s="23">
        <v>267</v>
      </c>
      <c r="CD208" s="24">
        <v>1890</v>
      </c>
      <c r="CE208" s="23">
        <v>267</v>
      </c>
      <c r="CF208" s="24">
        <v>0</v>
      </c>
      <c r="CG208" s="20">
        <v>19</v>
      </c>
    </row>
    <row r="209" spans="1:85" x14ac:dyDescent="0.3">
      <c r="A209" t="s">
        <v>417</v>
      </c>
      <c r="B209">
        <v>21111</v>
      </c>
      <c r="C209" t="s">
        <v>418</v>
      </c>
      <c r="D209" s="19">
        <v>4764</v>
      </c>
      <c r="E209" s="20">
        <v>627</v>
      </c>
      <c r="F209" s="19">
        <v>109</v>
      </c>
      <c r="G209" s="23">
        <v>144</v>
      </c>
      <c r="H209" s="24">
        <v>19</v>
      </c>
      <c r="I209" s="23">
        <v>66</v>
      </c>
      <c r="J209" s="24">
        <v>19</v>
      </c>
      <c r="K209" s="23">
        <v>66</v>
      </c>
      <c r="L209" s="24">
        <v>0</v>
      </c>
      <c r="M209" s="23">
        <v>24</v>
      </c>
      <c r="N209" s="24">
        <v>33</v>
      </c>
      <c r="O209" s="23">
        <v>46</v>
      </c>
      <c r="P209" s="24">
        <v>33</v>
      </c>
      <c r="Q209" s="23">
        <v>46</v>
      </c>
      <c r="R209" s="24">
        <v>0</v>
      </c>
      <c r="S209" s="23">
        <v>24</v>
      </c>
      <c r="T209" s="24">
        <v>57</v>
      </c>
      <c r="U209" s="23">
        <v>95</v>
      </c>
      <c r="V209" s="24">
        <v>57</v>
      </c>
      <c r="W209" s="23">
        <v>95</v>
      </c>
      <c r="X209" s="24">
        <v>0</v>
      </c>
      <c r="Y209" s="20">
        <v>24</v>
      </c>
      <c r="Z209" s="19">
        <v>222</v>
      </c>
      <c r="AA209" s="23">
        <v>168</v>
      </c>
      <c r="AB209" s="24">
        <v>36</v>
      </c>
      <c r="AC209" s="23">
        <v>49</v>
      </c>
      <c r="AD209" s="24">
        <v>36</v>
      </c>
      <c r="AE209" s="23">
        <v>49</v>
      </c>
      <c r="AF209" s="24">
        <v>0</v>
      </c>
      <c r="AG209" s="23">
        <v>12</v>
      </c>
      <c r="AH209" s="24">
        <v>129</v>
      </c>
      <c r="AI209" s="23">
        <v>92</v>
      </c>
      <c r="AJ209" s="24">
        <v>110</v>
      </c>
      <c r="AK209" s="23">
        <v>88</v>
      </c>
      <c r="AL209" s="24">
        <v>19</v>
      </c>
      <c r="AM209" s="23">
        <v>31</v>
      </c>
      <c r="AN209" s="24">
        <v>57</v>
      </c>
      <c r="AO209" s="23">
        <v>68</v>
      </c>
      <c r="AP209" s="24">
        <v>57</v>
      </c>
      <c r="AQ209" s="23">
        <v>68</v>
      </c>
      <c r="AR209" s="24">
        <v>0</v>
      </c>
      <c r="AS209" s="20">
        <v>12</v>
      </c>
      <c r="AT209" s="19">
        <v>614</v>
      </c>
      <c r="AU209" s="23">
        <v>240</v>
      </c>
      <c r="AV209" s="24">
        <v>60</v>
      </c>
      <c r="AW209" s="23">
        <v>55</v>
      </c>
      <c r="AX209" s="24">
        <v>60</v>
      </c>
      <c r="AY209" s="23">
        <v>55</v>
      </c>
      <c r="AZ209" s="24">
        <v>0</v>
      </c>
      <c r="BA209" s="23">
        <v>12</v>
      </c>
      <c r="BB209" s="24">
        <v>373</v>
      </c>
      <c r="BC209" s="23">
        <v>174</v>
      </c>
      <c r="BD209" s="24">
        <v>355</v>
      </c>
      <c r="BE209" s="23">
        <v>172</v>
      </c>
      <c r="BF209" s="24">
        <v>18</v>
      </c>
      <c r="BG209" s="23">
        <v>20</v>
      </c>
      <c r="BH209" s="24">
        <v>181</v>
      </c>
      <c r="BI209" s="23">
        <v>111</v>
      </c>
      <c r="BJ209" s="24">
        <v>181</v>
      </c>
      <c r="BK209" s="23">
        <v>111</v>
      </c>
      <c r="BL209" s="24">
        <v>0</v>
      </c>
      <c r="BM209" s="20">
        <v>12</v>
      </c>
      <c r="BN209" s="19">
        <v>3819</v>
      </c>
      <c r="BO209" s="23">
        <v>607</v>
      </c>
      <c r="BP209" s="24">
        <v>1084</v>
      </c>
      <c r="BQ209" s="23">
        <v>321</v>
      </c>
      <c r="BR209" s="24">
        <v>1071</v>
      </c>
      <c r="BS209" s="23">
        <v>319</v>
      </c>
      <c r="BT209" s="26">
        <v>13</v>
      </c>
      <c r="BU209" s="23">
        <v>22</v>
      </c>
      <c r="BV209" s="24">
        <v>2213</v>
      </c>
      <c r="BW209" s="23">
        <v>364</v>
      </c>
      <c r="BX209" s="24">
        <v>2183</v>
      </c>
      <c r="BY209" s="23">
        <v>365</v>
      </c>
      <c r="BZ209" s="24">
        <v>30</v>
      </c>
      <c r="CA209" s="23">
        <v>35</v>
      </c>
      <c r="CB209" s="24">
        <v>522</v>
      </c>
      <c r="CC209" s="23">
        <v>168</v>
      </c>
      <c r="CD209" s="24">
        <v>522</v>
      </c>
      <c r="CE209" s="23">
        <v>168</v>
      </c>
      <c r="CF209" s="24">
        <v>0</v>
      </c>
      <c r="CG209" s="20">
        <v>12</v>
      </c>
    </row>
    <row r="210" spans="1:85" x14ac:dyDescent="0.3">
      <c r="A210" t="s">
        <v>419</v>
      </c>
      <c r="B210">
        <v>21113</v>
      </c>
      <c r="C210" t="s">
        <v>420</v>
      </c>
      <c r="D210" s="19">
        <v>32277</v>
      </c>
      <c r="E210" s="20">
        <v>1247</v>
      </c>
      <c r="F210" s="19">
        <v>2569</v>
      </c>
      <c r="G210" s="23">
        <v>1085</v>
      </c>
      <c r="H210" s="24">
        <v>665</v>
      </c>
      <c r="I210" s="23">
        <v>525</v>
      </c>
      <c r="J210" s="24">
        <v>574</v>
      </c>
      <c r="K210" s="23">
        <v>474</v>
      </c>
      <c r="L210" s="24">
        <v>91</v>
      </c>
      <c r="M210" s="23">
        <v>124</v>
      </c>
      <c r="N210" s="24">
        <v>1500</v>
      </c>
      <c r="O210" s="23">
        <v>628</v>
      </c>
      <c r="P210" s="24">
        <v>1001</v>
      </c>
      <c r="Q210" s="23">
        <v>440</v>
      </c>
      <c r="R210" s="24">
        <v>499</v>
      </c>
      <c r="S210" s="23">
        <v>398</v>
      </c>
      <c r="T210" s="24">
        <v>404</v>
      </c>
      <c r="U210" s="23">
        <v>226</v>
      </c>
      <c r="V210" s="24">
        <v>404</v>
      </c>
      <c r="W210" s="23">
        <v>226</v>
      </c>
      <c r="X210" s="24">
        <v>0</v>
      </c>
      <c r="Y210" s="20">
        <v>50</v>
      </c>
      <c r="Z210" s="19">
        <v>1359</v>
      </c>
      <c r="AA210" s="23">
        <v>469</v>
      </c>
      <c r="AB210" s="24">
        <v>529</v>
      </c>
      <c r="AC210" s="23">
        <v>276</v>
      </c>
      <c r="AD210" s="24">
        <v>529</v>
      </c>
      <c r="AE210" s="23">
        <v>276</v>
      </c>
      <c r="AF210" s="24">
        <v>0</v>
      </c>
      <c r="AG210" s="23">
        <v>25</v>
      </c>
      <c r="AH210" s="24">
        <v>685</v>
      </c>
      <c r="AI210" s="23">
        <v>258</v>
      </c>
      <c r="AJ210" s="24">
        <v>613</v>
      </c>
      <c r="AK210" s="23">
        <v>254</v>
      </c>
      <c r="AL210" s="24">
        <v>72</v>
      </c>
      <c r="AM210" s="23">
        <v>88</v>
      </c>
      <c r="AN210" s="24">
        <v>145</v>
      </c>
      <c r="AO210" s="23">
        <v>74</v>
      </c>
      <c r="AP210" s="24">
        <v>145</v>
      </c>
      <c r="AQ210" s="23">
        <v>74</v>
      </c>
      <c r="AR210" s="24">
        <v>0</v>
      </c>
      <c r="AS210" s="20">
        <v>25</v>
      </c>
      <c r="AT210" s="19">
        <v>7291</v>
      </c>
      <c r="AU210" s="23">
        <v>1097</v>
      </c>
      <c r="AV210" s="24">
        <v>2405</v>
      </c>
      <c r="AW210" s="23">
        <v>565</v>
      </c>
      <c r="AX210" s="24">
        <v>2351</v>
      </c>
      <c r="AY210" s="23">
        <v>551</v>
      </c>
      <c r="AZ210" s="24">
        <v>54</v>
      </c>
      <c r="BA210" s="23">
        <v>59</v>
      </c>
      <c r="BB210" s="24">
        <v>4041</v>
      </c>
      <c r="BC210" s="23">
        <v>660</v>
      </c>
      <c r="BD210" s="24">
        <v>3692</v>
      </c>
      <c r="BE210" s="23">
        <v>609</v>
      </c>
      <c r="BF210" s="24">
        <v>349</v>
      </c>
      <c r="BG210" s="23">
        <v>171</v>
      </c>
      <c r="BH210" s="24">
        <v>845</v>
      </c>
      <c r="BI210" s="23">
        <v>228</v>
      </c>
      <c r="BJ210" s="24">
        <v>845</v>
      </c>
      <c r="BK210" s="23">
        <v>228</v>
      </c>
      <c r="BL210" s="24">
        <v>0</v>
      </c>
      <c r="BM210" s="20">
        <v>25</v>
      </c>
      <c r="BN210" s="19">
        <v>21058</v>
      </c>
      <c r="BO210" s="23">
        <v>1323</v>
      </c>
      <c r="BP210" s="24">
        <v>4801</v>
      </c>
      <c r="BQ210" s="23">
        <v>568</v>
      </c>
      <c r="BR210" s="24">
        <v>4642</v>
      </c>
      <c r="BS210" s="23">
        <v>552</v>
      </c>
      <c r="BT210" s="26">
        <v>159</v>
      </c>
      <c r="BU210" s="23">
        <v>106</v>
      </c>
      <c r="BV210" s="24">
        <v>14527</v>
      </c>
      <c r="BW210" s="23">
        <v>906</v>
      </c>
      <c r="BX210" s="24">
        <v>14194</v>
      </c>
      <c r="BY210" s="23">
        <v>897</v>
      </c>
      <c r="BZ210" s="24">
        <v>333</v>
      </c>
      <c r="CA210" s="23">
        <v>185</v>
      </c>
      <c r="CB210" s="24">
        <v>1730</v>
      </c>
      <c r="CC210" s="23">
        <v>275</v>
      </c>
      <c r="CD210" s="24">
        <v>1730</v>
      </c>
      <c r="CE210" s="23">
        <v>275</v>
      </c>
      <c r="CF210" s="24">
        <v>0</v>
      </c>
      <c r="CG210" s="20">
        <v>25</v>
      </c>
    </row>
    <row r="211" spans="1:85" x14ac:dyDescent="0.3">
      <c r="A211" t="s">
        <v>421</v>
      </c>
      <c r="B211">
        <v>21114</v>
      </c>
      <c r="C211" t="s">
        <v>422</v>
      </c>
      <c r="D211" s="19">
        <v>26248</v>
      </c>
      <c r="E211" s="20">
        <v>833</v>
      </c>
      <c r="F211" s="19">
        <v>841</v>
      </c>
      <c r="G211" s="23">
        <v>334</v>
      </c>
      <c r="H211" s="24">
        <v>223</v>
      </c>
      <c r="I211" s="23">
        <v>137</v>
      </c>
      <c r="J211" s="24">
        <v>185</v>
      </c>
      <c r="K211" s="23">
        <v>119</v>
      </c>
      <c r="L211" s="24">
        <v>38</v>
      </c>
      <c r="M211" s="23">
        <v>59</v>
      </c>
      <c r="N211" s="24">
        <v>531</v>
      </c>
      <c r="O211" s="23">
        <v>224</v>
      </c>
      <c r="P211" s="24">
        <v>433</v>
      </c>
      <c r="Q211" s="23">
        <v>192</v>
      </c>
      <c r="R211" s="24">
        <v>98</v>
      </c>
      <c r="S211" s="23">
        <v>89</v>
      </c>
      <c r="T211" s="24">
        <v>87</v>
      </c>
      <c r="U211" s="23">
        <v>87</v>
      </c>
      <c r="V211" s="24">
        <v>87</v>
      </c>
      <c r="W211" s="23">
        <v>87</v>
      </c>
      <c r="X211" s="24">
        <v>0</v>
      </c>
      <c r="Y211" s="20">
        <v>44</v>
      </c>
      <c r="Z211" s="19">
        <v>423</v>
      </c>
      <c r="AA211" s="23">
        <v>195</v>
      </c>
      <c r="AB211" s="24">
        <v>32</v>
      </c>
      <c r="AC211" s="23">
        <v>37</v>
      </c>
      <c r="AD211" s="24">
        <v>32</v>
      </c>
      <c r="AE211" s="23">
        <v>37</v>
      </c>
      <c r="AF211" s="24">
        <v>0</v>
      </c>
      <c r="AG211" s="23">
        <v>22</v>
      </c>
      <c r="AH211" s="24">
        <v>253</v>
      </c>
      <c r="AI211" s="23">
        <v>128</v>
      </c>
      <c r="AJ211" s="24">
        <v>233</v>
      </c>
      <c r="AK211" s="23">
        <v>120</v>
      </c>
      <c r="AL211" s="24">
        <v>20</v>
      </c>
      <c r="AM211" s="23">
        <v>31</v>
      </c>
      <c r="AN211" s="24">
        <v>138</v>
      </c>
      <c r="AO211" s="23">
        <v>95</v>
      </c>
      <c r="AP211" s="24">
        <v>138</v>
      </c>
      <c r="AQ211" s="23">
        <v>95</v>
      </c>
      <c r="AR211" s="24">
        <v>0</v>
      </c>
      <c r="AS211" s="20">
        <v>22</v>
      </c>
      <c r="AT211" s="19">
        <v>5430</v>
      </c>
      <c r="AU211" s="23">
        <v>797</v>
      </c>
      <c r="AV211" s="24">
        <v>1938</v>
      </c>
      <c r="AW211" s="23">
        <v>389</v>
      </c>
      <c r="AX211" s="24">
        <v>1938</v>
      </c>
      <c r="AY211" s="23">
        <v>389</v>
      </c>
      <c r="AZ211" s="24">
        <v>0</v>
      </c>
      <c r="BA211" s="23">
        <v>22</v>
      </c>
      <c r="BB211" s="24">
        <v>2895</v>
      </c>
      <c r="BC211" s="23">
        <v>472</v>
      </c>
      <c r="BD211" s="24">
        <v>2761</v>
      </c>
      <c r="BE211" s="23">
        <v>464</v>
      </c>
      <c r="BF211" s="24">
        <v>134</v>
      </c>
      <c r="BG211" s="23">
        <v>90</v>
      </c>
      <c r="BH211" s="24">
        <v>597</v>
      </c>
      <c r="BI211" s="23">
        <v>194</v>
      </c>
      <c r="BJ211" s="24">
        <v>577</v>
      </c>
      <c r="BK211" s="23">
        <v>194</v>
      </c>
      <c r="BL211" s="24">
        <v>20</v>
      </c>
      <c r="BM211" s="20">
        <v>33</v>
      </c>
      <c r="BN211" s="19">
        <v>19554</v>
      </c>
      <c r="BO211" s="23">
        <v>917</v>
      </c>
      <c r="BP211" s="24">
        <v>5161</v>
      </c>
      <c r="BQ211" s="23">
        <v>490</v>
      </c>
      <c r="BR211" s="24">
        <v>5007</v>
      </c>
      <c r="BS211" s="23">
        <v>483</v>
      </c>
      <c r="BT211" s="26">
        <v>154</v>
      </c>
      <c r="BU211" s="23">
        <v>132</v>
      </c>
      <c r="BV211" s="24">
        <v>12522</v>
      </c>
      <c r="BW211" s="23">
        <v>624</v>
      </c>
      <c r="BX211" s="24">
        <v>12248</v>
      </c>
      <c r="BY211" s="23">
        <v>647</v>
      </c>
      <c r="BZ211" s="24">
        <v>274</v>
      </c>
      <c r="CA211" s="23">
        <v>144</v>
      </c>
      <c r="CB211" s="24">
        <v>1871</v>
      </c>
      <c r="CC211" s="23">
        <v>193</v>
      </c>
      <c r="CD211" s="24">
        <v>1854</v>
      </c>
      <c r="CE211" s="23">
        <v>192</v>
      </c>
      <c r="CF211" s="24">
        <v>17</v>
      </c>
      <c r="CG211" s="20">
        <v>27</v>
      </c>
    </row>
    <row r="212" spans="1:85" x14ac:dyDescent="0.3">
      <c r="A212" t="s">
        <v>423</v>
      </c>
      <c r="B212">
        <v>21117</v>
      </c>
      <c r="C212" t="s">
        <v>424</v>
      </c>
      <c r="D212" s="19">
        <v>57707</v>
      </c>
      <c r="E212" s="20">
        <v>1759</v>
      </c>
      <c r="F212" s="19">
        <v>6110</v>
      </c>
      <c r="G212" s="23">
        <v>1607</v>
      </c>
      <c r="H212" s="24">
        <v>1794</v>
      </c>
      <c r="I212" s="23">
        <v>823</v>
      </c>
      <c r="J212" s="24">
        <v>1492</v>
      </c>
      <c r="K212" s="23">
        <v>666</v>
      </c>
      <c r="L212" s="24">
        <v>302</v>
      </c>
      <c r="M212" s="23">
        <v>316</v>
      </c>
      <c r="N212" s="24">
        <v>3453</v>
      </c>
      <c r="O212" s="23">
        <v>941</v>
      </c>
      <c r="P212" s="24">
        <v>2596</v>
      </c>
      <c r="Q212" s="23">
        <v>780</v>
      </c>
      <c r="R212" s="24">
        <v>857</v>
      </c>
      <c r="S212" s="23">
        <v>410</v>
      </c>
      <c r="T212" s="24">
        <v>863</v>
      </c>
      <c r="U212" s="23">
        <v>275</v>
      </c>
      <c r="V212" s="24">
        <v>863</v>
      </c>
      <c r="W212" s="23">
        <v>275</v>
      </c>
      <c r="X212" s="24">
        <v>0</v>
      </c>
      <c r="Y212" s="20">
        <v>56</v>
      </c>
      <c r="Z212" s="19">
        <v>4682</v>
      </c>
      <c r="AA212" s="23">
        <v>941</v>
      </c>
      <c r="AB212" s="24">
        <v>1498</v>
      </c>
      <c r="AC212" s="23">
        <v>533</v>
      </c>
      <c r="AD212" s="24">
        <v>1446</v>
      </c>
      <c r="AE212" s="23">
        <v>525</v>
      </c>
      <c r="AF212" s="24">
        <v>52</v>
      </c>
      <c r="AG212" s="23">
        <v>61</v>
      </c>
      <c r="AH212" s="24">
        <v>2728</v>
      </c>
      <c r="AI212" s="23">
        <v>509</v>
      </c>
      <c r="AJ212" s="24">
        <v>2132</v>
      </c>
      <c r="AK212" s="23">
        <v>477</v>
      </c>
      <c r="AL212" s="24">
        <v>596</v>
      </c>
      <c r="AM212" s="23">
        <v>232</v>
      </c>
      <c r="AN212" s="24">
        <v>456</v>
      </c>
      <c r="AO212" s="23">
        <v>164</v>
      </c>
      <c r="AP212" s="24">
        <v>456</v>
      </c>
      <c r="AQ212" s="23">
        <v>164</v>
      </c>
      <c r="AR212" s="24">
        <v>0</v>
      </c>
      <c r="AS212" s="20">
        <v>28</v>
      </c>
      <c r="AT212" s="19">
        <v>17739</v>
      </c>
      <c r="AU212" s="23">
        <v>1815</v>
      </c>
      <c r="AV212" s="24">
        <v>4627</v>
      </c>
      <c r="AW212" s="23">
        <v>812</v>
      </c>
      <c r="AX212" s="24">
        <v>4405</v>
      </c>
      <c r="AY212" s="23">
        <v>803</v>
      </c>
      <c r="AZ212" s="24">
        <v>222</v>
      </c>
      <c r="BA212" s="23">
        <v>150</v>
      </c>
      <c r="BB212" s="24">
        <v>11229</v>
      </c>
      <c r="BC212" s="23">
        <v>1224</v>
      </c>
      <c r="BD212" s="24">
        <v>9446</v>
      </c>
      <c r="BE212" s="23">
        <v>1021</v>
      </c>
      <c r="BF212" s="24">
        <v>1783</v>
      </c>
      <c r="BG212" s="23">
        <v>576</v>
      </c>
      <c r="BH212" s="24">
        <v>1883</v>
      </c>
      <c r="BI212" s="23">
        <v>294</v>
      </c>
      <c r="BJ212" s="24">
        <v>1732</v>
      </c>
      <c r="BK212" s="23">
        <v>280</v>
      </c>
      <c r="BL212" s="24">
        <v>151</v>
      </c>
      <c r="BM212" s="20">
        <v>121</v>
      </c>
      <c r="BN212" s="19">
        <v>29176</v>
      </c>
      <c r="BO212" s="23">
        <v>1698</v>
      </c>
      <c r="BP212" s="24">
        <v>5719</v>
      </c>
      <c r="BQ212" s="23">
        <v>692</v>
      </c>
      <c r="BR212" s="24">
        <v>5671</v>
      </c>
      <c r="BS212" s="23">
        <v>678</v>
      </c>
      <c r="BT212" s="26">
        <v>48</v>
      </c>
      <c r="BU212" s="23">
        <v>63</v>
      </c>
      <c r="BV212" s="24">
        <v>20245</v>
      </c>
      <c r="BW212" s="23">
        <v>1277</v>
      </c>
      <c r="BX212" s="24">
        <v>19626</v>
      </c>
      <c r="BY212" s="23">
        <v>1285</v>
      </c>
      <c r="BZ212" s="24">
        <v>619</v>
      </c>
      <c r="CA212" s="23">
        <v>229</v>
      </c>
      <c r="CB212" s="24">
        <v>3212</v>
      </c>
      <c r="CC212" s="23">
        <v>389</v>
      </c>
      <c r="CD212" s="24">
        <v>3198</v>
      </c>
      <c r="CE212" s="23">
        <v>392</v>
      </c>
      <c r="CF212" s="24">
        <v>14</v>
      </c>
      <c r="CG212" s="20">
        <v>21</v>
      </c>
    </row>
    <row r="213" spans="1:85" x14ac:dyDescent="0.3">
      <c r="A213" t="s">
        <v>425</v>
      </c>
      <c r="B213">
        <v>21120</v>
      </c>
      <c r="C213" t="s">
        <v>426</v>
      </c>
      <c r="D213" s="19">
        <v>7249</v>
      </c>
      <c r="E213" s="20">
        <v>540</v>
      </c>
      <c r="F213" s="19">
        <v>505</v>
      </c>
      <c r="G213" s="23">
        <v>270</v>
      </c>
      <c r="H213" s="24">
        <v>75</v>
      </c>
      <c r="I213" s="23">
        <v>77</v>
      </c>
      <c r="J213" s="24">
        <v>75</v>
      </c>
      <c r="K213" s="23">
        <v>77</v>
      </c>
      <c r="L213" s="24">
        <v>0</v>
      </c>
      <c r="M213" s="23">
        <v>34</v>
      </c>
      <c r="N213" s="24">
        <v>270</v>
      </c>
      <c r="O213" s="23">
        <v>169</v>
      </c>
      <c r="P213" s="24">
        <v>270</v>
      </c>
      <c r="Q213" s="23">
        <v>169</v>
      </c>
      <c r="R213" s="24">
        <v>0</v>
      </c>
      <c r="S213" s="23">
        <v>34</v>
      </c>
      <c r="T213" s="24">
        <v>160</v>
      </c>
      <c r="U213" s="23">
        <v>122</v>
      </c>
      <c r="V213" s="24">
        <v>160</v>
      </c>
      <c r="W213" s="23">
        <v>122</v>
      </c>
      <c r="X213" s="24">
        <v>0</v>
      </c>
      <c r="Y213" s="20">
        <v>34</v>
      </c>
      <c r="Z213" s="19">
        <v>183</v>
      </c>
      <c r="AA213" s="23">
        <v>108</v>
      </c>
      <c r="AB213" s="24">
        <v>39</v>
      </c>
      <c r="AC213" s="23">
        <v>44</v>
      </c>
      <c r="AD213" s="24">
        <v>39</v>
      </c>
      <c r="AE213" s="23">
        <v>44</v>
      </c>
      <c r="AF213" s="24">
        <v>0</v>
      </c>
      <c r="AG213" s="23">
        <v>17</v>
      </c>
      <c r="AH213" s="24">
        <v>82</v>
      </c>
      <c r="AI213" s="23">
        <v>51</v>
      </c>
      <c r="AJ213" s="24">
        <v>82</v>
      </c>
      <c r="AK213" s="23">
        <v>51</v>
      </c>
      <c r="AL213" s="24">
        <v>0</v>
      </c>
      <c r="AM213" s="23">
        <v>17</v>
      </c>
      <c r="AN213" s="24">
        <v>62</v>
      </c>
      <c r="AO213" s="23">
        <v>53</v>
      </c>
      <c r="AP213" s="24">
        <v>62</v>
      </c>
      <c r="AQ213" s="23">
        <v>53</v>
      </c>
      <c r="AR213" s="24">
        <v>0</v>
      </c>
      <c r="AS213" s="20">
        <v>17</v>
      </c>
      <c r="AT213" s="19">
        <v>1246</v>
      </c>
      <c r="AU213" s="23">
        <v>347</v>
      </c>
      <c r="AV213" s="24">
        <v>281</v>
      </c>
      <c r="AW213" s="23">
        <v>126</v>
      </c>
      <c r="AX213" s="24">
        <v>281</v>
      </c>
      <c r="AY213" s="23">
        <v>126</v>
      </c>
      <c r="AZ213" s="24">
        <v>0</v>
      </c>
      <c r="BA213" s="23">
        <v>17</v>
      </c>
      <c r="BB213" s="24">
        <v>648</v>
      </c>
      <c r="BC213" s="23">
        <v>208</v>
      </c>
      <c r="BD213" s="24">
        <v>595</v>
      </c>
      <c r="BE213" s="23">
        <v>200</v>
      </c>
      <c r="BF213" s="24">
        <v>53</v>
      </c>
      <c r="BG213" s="23">
        <v>38</v>
      </c>
      <c r="BH213" s="24">
        <v>317</v>
      </c>
      <c r="BI213" s="23">
        <v>105</v>
      </c>
      <c r="BJ213" s="24">
        <v>317</v>
      </c>
      <c r="BK213" s="23">
        <v>105</v>
      </c>
      <c r="BL213" s="24">
        <v>0</v>
      </c>
      <c r="BM213" s="20">
        <v>17</v>
      </c>
      <c r="BN213" s="19">
        <v>5315</v>
      </c>
      <c r="BO213" s="23">
        <v>556</v>
      </c>
      <c r="BP213" s="24">
        <v>1333</v>
      </c>
      <c r="BQ213" s="23">
        <v>263</v>
      </c>
      <c r="BR213" s="24">
        <v>1325</v>
      </c>
      <c r="BS213" s="23">
        <v>262</v>
      </c>
      <c r="BT213" s="26">
        <v>8</v>
      </c>
      <c r="BU213" s="23">
        <v>12</v>
      </c>
      <c r="BV213" s="24">
        <v>3335</v>
      </c>
      <c r="BW213" s="23">
        <v>363</v>
      </c>
      <c r="BX213" s="24">
        <v>3263</v>
      </c>
      <c r="BY213" s="23">
        <v>350</v>
      </c>
      <c r="BZ213" s="24">
        <v>72</v>
      </c>
      <c r="CA213" s="23">
        <v>60</v>
      </c>
      <c r="CB213" s="24">
        <v>647</v>
      </c>
      <c r="CC213" s="23">
        <v>174</v>
      </c>
      <c r="CD213" s="24">
        <v>647</v>
      </c>
      <c r="CE213" s="23">
        <v>174</v>
      </c>
      <c r="CF213" s="24">
        <v>0</v>
      </c>
      <c r="CG213" s="20">
        <v>17</v>
      </c>
    </row>
    <row r="214" spans="1:85" x14ac:dyDescent="0.3">
      <c r="A214" t="s">
        <v>427</v>
      </c>
      <c r="B214">
        <v>21122</v>
      </c>
      <c r="C214" t="s">
        <v>428</v>
      </c>
      <c r="D214" s="19">
        <v>60637</v>
      </c>
      <c r="E214" s="20">
        <v>1298</v>
      </c>
      <c r="F214" s="19">
        <v>5267</v>
      </c>
      <c r="G214" s="23">
        <v>1287</v>
      </c>
      <c r="H214" s="24">
        <v>1660</v>
      </c>
      <c r="I214" s="23">
        <v>696</v>
      </c>
      <c r="J214" s="24">
        <v>1562</v>
      </c>
      <c r="K214" s="23">
        <v>657</v>
      </c>
      <c r="L214" s="24">
        <v>98</v>
      </c>
      <c r="M214" s="23">
        <v>139</v>
      </c>
      <c r="N214" s="24">
        <v>2850</v>
      </c>
      <c r="O214" s="23">
        <v>690</v>
      </c>
      <c r="P214" s="24">
        <v>2371</v>
      </c>
      <c r="Q214" s="23">
        <v>592</v>
      </c>
      <c r="R214" s="24">
        <v>479</v>
      </c>
      <c r="S214" s="23">
        <v>301</v>
      </c>
      <c r="T214" s="24">
        <v>757</v>
      </c>
      <c r="U214" s="23">
        <v>289</v>
      </c>
      <c r="V214" s="24">
        <v>757</v>
      </c>
      <c r="W214" s="23">
        <v>289</v>
      </c>
      <c r="X214" s="24">
        <v>0</v>
      </c>
      <c r="Y214" s="20">
        <v>56</v>
      </c>
      <c r="Z214" s="19">
        <v>3677</v>
      </c>
      <c r="AA214" s="23">
        <v>806</v>
      </c>
      <c r="AB214" s="24">
        <v>1115</v>
      </c>
      <c r="AC214" s="23">
        <v>356</v>
      </c>
      <c r="AD214" s="24">
        <v>1072</v>
      </c>
      <c r="AE214" s="23">
        <v>354</v>
      </c>
      <c r="AF214" s="24">
        <v>43</v>
      </c>
      <c r="AG214" s="23">
        <v>68</v>
      </c>
      <c r="AH214" s="24">
        <v>1809</v>
      </c>
      <c r="AI214" s="23">
        <v>436</v>
      </c>
      <c r="AJ214" s="24">
        <v>1535</v>
      </c>
      <c r="AK214" s="23">
        <v>346</v>
      </c>
      <c r="AL214" s="24">
        <v>274</v>
      </c>
      <c r="AM214" s="23">
        <v>153</v>
      </c>
      <c r="AN214" s="24">
        <v>753</v>
      </c>
      <c r="AO214" s="23">
        <v>261</v>
      </c>
      <c r="AP214" s="24">
        <v>753</v>
      </c>
      <c r="AQ214" s="23">
        <v>261</v>
      </c>
      <c r="AR214" s="24">
        <v>0</v>
      </c>
      <c r="AS214" s="20">
        <v>28</v>
      </c>
      <c r="AT214" s="19">
        <v>16431</v>
      </c>
      <c r="AU214" s="23">
        <v>1528</v>
      </c>
      <c r="AV214" s="24">
        <v>4465</v>
      </c>
      <c r="AW214" s="23">
        <v>639</v>
      </c>
      <c r="AX214" s="24">
        <v>4345</v>
      </c>
      <c r="AY214" s="23">
        <v>637</v>
      </c>
      <c r="AZ214" s="24">
        <v>120</v>
      </c>
      <c r="BA214" s="23">
        <v>108</v>
      </c>
      <c r="BB214" s="24">
        <v>9184</v>
      </c>
      <c r="BC214" s="23">
        <v>1007</v>
      </c>
      <c r="BD214" s="24">
        <v>8562</v>
      </c>
      <c r="BE214" s="23">
        <v>1011</v>
      </c>
      <c r="BF214" s="24">
        <v>622</v>
      </c>
      <c r="BG214" s="23">
        <v>297</v>
      </c>
      <c r="BH214" s="24">
        <v>2782</v>
      </c>
      <c r="BI214" s="23">
        <v>385</v>
      </c>
      <c r="BJ214" s="24">
        <v>2782</v>
      </c>
      <c r="BK214" s="23">
        <v>385</v>
      </c>
      <c r="BL214" s="24">
        <v>0</v>
      </c>
      <c r="BM214" s="20">
        <v>28</v>
      </c>
      <c r="BN214" s="19">
        <v>35262</v>
      </c>
      <c r="BO214" s="23">
        <v>1815</v>
      </c>
      <c r="BP214" s="24">
        <v>7078</v>
      </c>
      <c r="BQ214" s="23">
        <v>664</v>
      </c>
      <c r="BR214" s="24">
        <v>7015</v>
      </c>
      <c r="BS214" s="23">
        <v>655</v>
      </c>
      <c r="BT214" s="26">
        <v>63</v>
      </c>
      <c r="BU214" s="23">
        <v>48</v>
      </c>
      <c r="BV214" s="24">
        <v>24562</v>
      </c>
      <c r="BW214" s="23">
        <v>1347</v>
      </c>
      <c r="BX214" s="24">
        <v>23472</v>
      </c>
      <c r="BY214" s="23">
        <v>1301</v>
      </c>
      <c r="BZ214" s="24">
        <v>1090</v>
      </c>
      <c r="CA214" s="23">
        <v>289</v>
      </c>
      <c r="CB214" s="24">
        <v>3622</v>
      </c>
      <c r="CC214" s="23">
        <v>384</v>
      </c>
      <c r="CD214" s="24">
        <v>3622</v>
      </c>
      <c r="CE214" s="23">
        <v>384</v>
      </c>
      <c r="CF214" s="24">
        <v>0</v>
      </c>
      <c r="CG214" s="20">
        <v>28</v>
      </c>
    </row>
    <row r="215" spans="1:85" x14ac:dyDescent="0.3">
      <c r="A215" t="s">
        <v>429</v>
      </c>
      <c r="B215">
        <v>21128</v>
      </c>
      <c r="C215" t="s">
        <v>430</v>
      </c>
      <c r="D215" s="19">
        <v>13842</v>
      </c>
      <c r="E215" s="20">
        <v>814</v>
      </c>
      <c r="F215" s="19">
        <v>1005</v>
      </c>
      <c r="G215" s="23">
        <v>433</v>
      </c>
      <c r="H215" s="24">
        <v>210</v>
      </c>
      <c r="I215" s="23">
        <v>160</v>
      </c>
      <c r="J215" s="24">
        <v>197</v>
      </c>
      <c r="K215" s="23">
        <v>146</v>
      </c>
      <c r="L215" s="24">
        <v>13</v>
      </c>
      <c r="M215" s="23">
        <v>40</v>
      </c>
      <c r="N215" s="24">
        <v>479</v>
      </c>
      <c r="O215" s="23">
        <v>232</v>
      </c>
      <c r="P215" s="24">
        <v>428</v>
      </c>
      <c r="Q215" s="23">
        <v>220</v>
      </c>
      <c r="R215" s="24">
        <v>51</v>
      </c>
      <c r="S215" s="23">
        <v>67</v>
      </c>
      <c r="T215" s="24">
        <v>316</v>
      </c>
      <c r="U215" s="23">
        <v>182</v>
      </c>
      <c r="V215" s="24">
        <v>316</v>
      </c>
      <c r="W215" s="23">
        <v>182</v>
      </c>
      <c r="X215" s="24">
        <v>0</v>
      </c>
      <c r="Y215" s="20">
        <v>38</v>
      </c>
      <c r="Z215" s="19">
        <v>794</v>
      </c>
      <c r="AA215" s="23">
        <v>379</v>
      </c>
      <c r="AB215" s="24">
        <v>331</v>
      </c>
      <c r="AC215" s="23">
        <v>230</v>
      </c>
      <c r="AD215" s="24">
        <v>331</v>
      </c>
      <c r="AE215" s="23">
        <v>230</v>
      </c>
      <c r="AF215" s="24">
        <v>0</v>
      </c>
      <c r="AG215" s="23">
        <v>19</v>
      </c>
      <c r="AH215" s="24">
        <v>277</v>
      </c>
      <c r="AI215" s="23">
        <v>153</v>
      </c>
      <c r="AJ215" s="24">
        <v>277</v>
      </c>
      <c r="AK215" s="23">
        <v>153</v>
      </c>
      <c r="AL215" s="24">
        <v>0</v>
      </c>
      <c r="AM215" s="23">
        <v>19</v>
      </c>
      <c r="AN215" s="24">
        <v>186</v>
      </c>
      <c r="AO215" s="23">
        <v>99</v>
      </c>
      <c r="AP215" s="24">
        <v>167</v>
      </c>
      <c r="AQ215" s="23">
        <v>98</v>
      </c>
      <c r="AR215" s="24">
        <v>19</v>
      </c>
      <c r="AS215" s="20">
        <v>24</v>
      </c>
      <c r="AT215" s="19">
        <v>2807</v>
      </c>
      <c r="AU215" s="23">
        <v>612</v>
      </c>
      <c r="AV215" s="24">
        <v>692</v>
      </c>
      <c r="AW215" s="23">
        <v>240</v>
      </c>
      <c r="AX215" s="24">
        <v>692</v>
      </c>
      <c r="AY215" s="23">
        <v>240</v>
      </c>
      <c r="AZ215" s="24">
        <v>0</v>
      </c>
      <c r="BA215" s="23">
        <v>19</v>
      </c>
      <c r="BB215" s="24">
        <v>1320</v>
      </c>
      <c r="BC215" s="23">
        <v>348</v>
      </c>
      <c r="BD215" s="24">
        <v>1282</v>
      </c>
      <c r="BE215" s="23">
        <v>340</v>
      </c>
      <c r="BF215" s="24">
        <v>38</v>
      </c>
      <c r="BG215" s="23">
        <v>36</v>
      </c>
      <c r="BH215" s="24">
        <v>795</v>
      </c>
      <c r="BI215" s="23">
        <v>194</v>
      </c>
      <c r="BJ215" s="24">
        <v>795</v>
      </c>
      <c r="BK215" s="23">
        <v>194</v>
      </c>
      <c r="BL215" s="24">
        <v>0</v>
      </c>
      <c r="BM215" s="20">
        <v>19</v>
      </c>
      <c r="BN215" s="19">
        <v>9236</v>
      </c>
      <c r="BO215" s="23">
        <v>771</v>
      </c>
      <c r="BP215" s="24">
        <v>2250</v>
      </c>
      <c r="BQ215" s="23">
        <v>310</v>
      </c>
      <c r="BR215" s="24">
        <v>2227</v>
      </c>
      <c r="BS215" s="23">
        <v>310</v>
      </c>
      <c r="BT215" s="26">
        <v>23</v>
      </c>
      <c r="BU215" s="23">
        <v>25</v>
      </c>
      <c r="BV215" s="24">
        <v>6027</v>
      </c>
      <c r="BW215" s="23">
        <v>472</v>
      </c>
      <c r="BX215" s="24">
        <v>5974</v>
      </c>
      <c r="BY215" s="23">
        <v>468</v>
      </c>
      <c r="BZ215" s="24">
        <v>53</v>
      </c>
      <c r="CA215" s="23">
        <v>49</v>
      </c>
      <c r="CB215" s="24">
        <v>959</v>
      </c>
      <c r="CC215" s="23">
        <v>225</v>
      </c>
      <c r="CD215" s="24">
        <v>883</v>
      </c>
      <c r="CE215" s="23">
        <v>198</v>
      </c>
      <c r="CF215" s="24">
        <v>76</v>
      </c>
      <c r="CG215" s="20">
        <v>79</v>
      </c>
    </row>
    <row r="216" spans="1:85" x14ac:dyDescent="0.3">
      <c r="A216" t="s">
        <v>431</v>
      </c>
      <c r="B216">
        <v>21130</v>
      </c>
      <c r="C216" t="s">
        <v>432</v>
      </c>
      <c r="D216" s="19">
        <v>318</v>
      </c>
      <c r="E216" s="20">
        <v>179</v>
      </c>
      <c r="F216" s="19">
        <v>53</v>
      </c>
      <c r="G216" s="23">
        <v>91</v>
      </c>
      <c r="H216" s="24">
        <v>31</v>
      </c>
      <c r="I216" s="23">
        <v>65</v>
      </c>
      <c r="J216" s="24">
        <v>31</v>
      </c>
      <c r="K216" s="23">
        <v>65</v>
      </c>
      <c r="L216" s="24">
        <v>0</v>
      </c>
      <c r="M216" s="23">
        <v>24</v>
      </c>
      <c r="N216" s="24">
        <v>22</v>
      </c>
      <c r="O216" s="23">
        <v>41</v>
      </c>
      <c r="P216" s="24">
        <v>22</v>
      </c>
      <c r="Q216" s="23">
        <v>41</v>
      </c>
      <c r="R216" s="24">
        <v>0</v>
      </c>
      <c r="S216" s="23">
        <v>24</v>
      </c>
      <c r="T216" s="24">
        <v>0</v>
      </c>
      <c r="U216" s="23">
        <v>24</v>
      </c>
      <c r="V216" s="24">
        <v>0</v>
      </c>
      <c r="W216" s="23">
        <v>24</v>
      </c>
      <c r="X216" s="24">
        <v>0</v>
      </c>
      <c r="Y216" s="20">
        <v>24</v>
      </c>
      <c r="Z216" s="19">
        <v>64</v>
      </c>
      <c r="AA216" s="23">
        <v>98</v>
      </c>
      <c r="AB216" s="24">
        <v>16</v>
      </c>
      <c r="AC216" s="23">
        <v>24</v>
      </c>
      <c r="AD216" s="24">
        <v>0</v>
      </c>
      <c r="AE216" s="23">
        <v>12</v>
      </c>
      <c r="AF216" s="24">
        <v>16</v>
      </c>
      <c r="AG216" s="23">
        <v>24</v>
      </c>
      <c r="AH216" s="24">
        <v>48</v>
      </c>
      <c r="AI216" s="23">
        <v>74</v>
      </c>
      <c r="AJ216" s="24">
        <v>17</v>
      </c>
      <c r="AK216" s="23">
        <v>27</v>
      </c>
      <c r="AL216" s="24">
        <v>31</v>
      </c>
      <c r="AM216" s="23">
        <v>47</v>
      </c>
      <c r="AN216" s="24">
        <v>0</v>
      </c>
      <c r="AO216" s="23">
        <v>12</v>
      </c>
      <c r="AP216" s="24">
        <v>0</v>
      </c>
      <c r="AQ216" s="23">
        <v>12</v>
      </c>
      <c r="AR216" s="24">
        <v>0</v>
      </c>
      <c r="AS216" s="20">
        <v>12</v>
      </c>
      <c r="AT216" s="19">
        <v>74</v>
      </c>
      <c r="AU216" s="23">
        <v>86</v>
      </c>
      <c r="AV216" s="24">
        <v>30</v>
      </c>
      <c r="AW216" s="23">
        <v>44</v>
      </c>
      <c r="AX216" s="24">
        <v>30</v>
      </c>
      <c r="AY216" s="23">
        <v>44</v>
      </c>
      <c r="AZ216" s="24">
        <v>0</v>
      </c>
      <c r="BA216" s="23">
        <v>12</v>
      </c>
      <c r="BB216" s="24">
        <v>44</v>
      </c>
      <c r="BC216" s="23">
        <v>47</v>
      </c>
      <c r="BD216" s="24">
        <v>44</v>
      </c>
      <c r="BE216" s="23">
        <v>47</v>
      </c>
      <c r="BF216" s="24">
        <v>0</v>
      </c>
      <c r="BG216" s="23">
        <v>12</v>
      </c>
      <c r="BH216" s="24">
        <v>0</v>
      </c>
      <c r="BI216" s="23">
        <v>12</v>
      </c>
      <c r="BJ216" s="24">
        <v>0</v>
      </c>
      <c r="BK216" s="23">
        <v>12</v>
      </c>
      <c r="BL216" s="24">
        <v>0</v>
      </c>
      <c r="BM216" s="20">
        <v>12</v>
      </c>
      <c r="BN216" s="19">
        <v>127</v>
      </c>
      <c r="BO216" s="23">
        <v>142</v>
      </c>
      <c r="BP216" s="24">
        <v>0</v>
      </c>
      <c r="BQ216" s="23">
        <v>12</v>
      </c>
      <c r="BR216" s="24">
        <v>0</v>
      </c>
      <c r="BS216" s="23">
        <v>12</v>
      </c>
      <c r="BT216" s="26">
        <v>0</v>
      </c>
      <c r="BU216" s="23">
        <v>12</v>
      </c>
      <c r="BV216" s="24">
        <v>127</v>
      </c>
      <c r="BW216" s="23">
        <v>142</v>
      </c>
      <c r="BX216" s="24">
        <v>73</v>
      </c>
      <c r="BY216" s="23">
        <v>78</v>
      </c>
      <c r="BZ216" s="24">
        <v>54</v>
      </c>
      <c r="CA216" s="23">
        <v>86</v>
      </c>
      <c r="CB216" s="24">
        <v>0</v>
      </c>
      <c r="CC216" s="23">
        <v>12</v>
      </c>
      <c r="CD216" s="24">
        <v>0</v>
      </c>
      <c r="CE216" s="23">
        <v>12</v>
      </c>
      <c r="CF216" s="24">
        <v>0</v>
      </c>
      <c r="CG216" s="20">
        <v>12</v>
      </c>
    </row>
    <row r="217" spans="1:85" x14ac:dyDescent="0.3">
      <c r="A217" t="s">
        <v>433</v>
      </c>
      <c r="B217">
        <v>21131</v>
      </c>
      <c r="C217" t="s">
        <v>434</v>
      </c>
      <c r="D217" s="19">
        <v>7426</v>
      </c>
      <c r="E217" s="20">
        <v>546</v>
      </c>
      <c r="F217" s="19">
        <v>343</v>
      </c>
      <c r="G217" s="23">
        <v>196</v>
      </c>
      <c r="H217" s="24">
        <v>108</v>
      </c>
      <c r="I217" s="23">
        <v>114</v>
      </c>
      <c r="J217" s="24">
        <v>108</v>
      </c>
      <c r="K217" s="23">
        <v>114</v>
      </c>
      <c r="L217" s="24">
        <v>0</v>
      </c>
      <c r="M217" s="23">
        <v>34</v>
      </c>
      <c r="N217" s="24">
        <v>198</v>
      </c>
      <c r="O217" s="23">
        <v>119</v>
      </c>
      <c r="P217" s="24">
        <v>192</v>
      </c>
      <c r="Q217" s="23">
        <v>111</v>
      </c>
      <c r="R217" s="24">
        <v>6</v>
      </c>
      <c r="S217" s="23">
        <v>29</v>
      </c>
      <c r="T217" s="24">
        <v>37</v>
      </c>
      <c r="U217" s="23">
        <v>42</v>
      </c>
      <c r="V217" s="24">
        <v>37</v>
      </c>
      <c r="W217" s="23">
        <v>42</v>
      </c>
      <c r="X217" s="24">
        <v>0</v>
      </c>
      <c r="Y217" s="20">
        <v>34</v>
      </c>
      <c r="Z217" s="19">
        <v>285</v>
      </c>
      <c r="AA217" s="23">
        <v>215</v>
      </c>
      <c r="AB217" s="24">
        <v>76</v>
      </c>
      <c r="AC217" s="23">
        <v>88</v>
      </c>
      <c r="AD217" s="24">
        <v>76</v>
      </c>
      <c r="AE217" s="23">
        <v>88</v>
      </c>
      <c r="AF217" s="24">
        <v>0</v>
      </c>
      <c r="AG217" s="23">
        <v>17</v>
      </c>
      <c r="AH217" s="24">
        <v>103</v>
      </c>
      <c r="AI217" s="23">
        <v>103</v>
      </c>
      <c r="AJ217" s="24">
        <v>103</v>
      </c>
      <c r="AK217" s="23">
        <v>103</v>
      </c>
      <c r="AL217" s="24">
        <v>0</v>
      </c>
      <c r="AM217" s="23">
        <v>17</v>
      </c>
      <c r="AN217" s="24">
        <v>106</v>
      </c>
      <c r="AO217" s="23">
        <v>74</v>
      </c>
      <c r="AP217" s="24">
        <v>106</v>
      </c>
      <c r="AQ217" s="23">
        <v>74</v>
      </c>
      <c r="AR217" s="24">
        <v>0</v>
      </c>
      <c r="AS217" s="20">
        <v>17</v>
      </c>
      <c r="AT217" s="19">
        <v>1138</v>
      </c>
      <c r="AU217" s="23">
        <v>313</v>
      </c>
      <c r="AV217" s="24">
        <v>238</v>
      </c>
      <c r="AW217" s="23">
        <v>132</v>
      </c>
      <c r="AX217" s="24">
        <v>238</v>
      </c>
      <c r="AY217" s="23">
        <v>132</v>
      </c>
      <c r="AZ217" s="24">
        <v>0</v>
      </c>
      <c r="BA217" s="23">
        <v>17</v>
      </c>
      <c r="BB217" s="24">
        <v>433</v>
      </c>
      <c r="BC217" s="23">
        <v>182</v>
      </c>
      <c r="BD217" s="24">
        <v>416</v>
      </c>
      <c r="BE217" s="23">
        <v>182</v>
      </c>
      <c r="BF217" s="24">
        <v>17</v>
      </c>
      <c r="BG217" s="23">
        <v>26</v>
      </c>
      <c r="BH217" s="24">
        <v>467</v>
      </c>
      <c r="BI217" s="23">
        <v>147</v>
      </c>
      <c r="BJ217" s="24">
        <v>467</v>
      </c>
      <c r="BK217" s="23">
        <v>147</v>
      </c>
      <c r="BL217" s="24">
        <v>0</v>
      </c>
      <c r="BM217" s="20">
        <v>17</v>
      </c>
      <c r="BN217" s="19">
        <v>5660</v>
      </c>
      <c r="BO217" s="23">
        <v>514</v>
      </c>
      <c r="BP217" s="24">
        <v>1596</v>
      </c>
      <c r="BQ217" s="23">
        <v>297</v>
      </c>
      <c r="BR217" s="24">
        <v>1596</v>
      </c>
      <c r="BS217" s="23">
        <v>297</v>
      </c>
      <c r="BT217" s="26">
        <v>0</v>
      </c>
      <c r="BU217" s="23">
        <v>17</v>
      </c>
      <c r="BV217" s="24">
        <v>3400</v>
      </c>
      <c r="BW217" s="23">
        <v>286</v>
      </c>
      <c r="BX217" s="24">
        <v>3335</v>
      </c>
      <c r="BY217" s="23">
        <v>277</v>
      </c>
      <c r="BZ217" s="24">
        <v>65</v>
      </c>
      <c r="CA217" s="23">
        <v>61</v>
      </c>
      <c r="CB217" s="24">
        <v>664</v>
      </c>
      <c r="CC217" s="23">
        <v>135</v>
      </c>
      <c r="CD217" s="24">
        <v>664</v>
      </c>
      <c r="CE217" s="23">
        <v>135</v>
      </c>
      <c r="CF217" s="24">
        <v>0</v>
      </c>
      <c r="CG217" s="20">
        <v>17</v>
      </c>
    </row>
    <row r="218" spans="1:85" x14ac:dyDescent="0.3">
      <c r="A218" t="s">
        <v>435</v>
      </c>
      <c r="B218">
        <v>21132</v>
      </c>
      <c r="C218" t="s">
        <v>436</v>
      </c>
      <c r="D218" s="19">
        <v>2925</v>
      </c>
      <c r="E218" s="20">
        <v>520</v>
      </c>
      <c r="F218" s="19">
        <v>92</v>
      </c>
      <c r="G218" s="23">
        <v>100</v>
      </c>
      <c r="H218" s="24">
        <v>51</v>
      </c>
      <c r="I218" s="23">
        <v>75</v>
      </c>
      <c r="J218" s="24">
        <v>51</v>
      </c>
      <c r="K218" s="23">
        <v>75</v>
      </c>
      <c r="L218" s="24">
        <v>0</v>
      </c>
      <c r="M218" s="23">
        <v>24</v>
      </c>
      <c r="N218" s="24">
        <v>28</v>
      </c>
      <c r="O218" s="23">
        <v>40</v>
      </c>
      <c r="P218" s="24">
        <v>28</v>
      </c>
      <c r="Q218" s="23">
        <v>40</v>
      </c>
      <c r="R218" s="24">
        <v>0</v>
      </c>
      <c r="S218" s="23">
        <v>24</v>
      </c>
      <c r="T218" s="24">
        <v>13</v>
      </c>
      <c r="U218" s="23">
        <v>28</v>
      </c>
      <c r="V218" s="24">
        <v>13</v>
      </c>
      <c r="W218" s="23">
        <v>28</v>
      </c>
      <c r="X218" s="24">
        <v>0</v>
      </c>
      <c r="Y218" s="20">
        <v>24</v>
      </c>
      <c r="Z218" s="19">
        <v>174</v>
      </c>
      <c r="AA218" s="23">
        <v>128</v>
      </c>
      <c r="AB218" s="24">
        <v>33</v>
      </c>
      <c r="AC218" s="23">
        <v>37</v>
      </c>
      <c r="AD218" s="24">
        <v>33</v>
      </c>
      <c r="AE218" s="23">
        <v>37</v>
      </c>
      <c r="AF218" s="24">
        <v>0</v>
      </c>
      <c r="AG218" s="23">
        <v>12</v>
      </c>
      <c r="AH218" s="24">
        <v>119</v>
      </c>
      <c r="AI218" s="23">
        <v>96</v>
      </c>
      <c r="AJ218" s="24">
        <v>104</v>
      </c>
      <c r="AK218" s="23">
        <v>83</v>
      </c>
      <c r="AL218" s="24">
        <v>15</v>
      </c>
      <c r="AM218" s="23">
        <v>24</v>
      </c>
      <c r="AN218" s="24">
        <v>22</v>
      </c>
      <c r="AO218" s="23">
        <v>25</v>
      </c>
      <c r="AP218" s="24">
        <v>22</v>
      </c>
      <c r="AQ218" s="23">
        <v>25</v>
      </c>
      <c r="AR218" s="24">
        <v>0</v>
      </c>
      <c r="AS218" s="20">
        <v>12</v>
      </c>
      <c r="AT218" s="19">
        <v>615</v>
      </c>
      <c r="AU218" s="23">
        <v>196</v>
      </c>
      <c r="AV218" s="24">
        <v>120</v>
      </c>
      <c r="AW218" s="23">
        <v>86</v>
      </c>
      <c r="AX218" s="24">
        <v>120</v>
      </c>
      <c r="AY218" s="23">
        <v>86</v>
      </c>
      <c r="AZ218" s="24">
        <v>0</v>
      </c>
      <c r="BA218" s="23">
        <v>12</v>
      </c>
      <c r="BB218" s="24">
        <v>297</v>
      </c>
      <c r="BC218" s="23">
        <v>114</v>
      </c>
      <c r="BD218" s="24">
        <v>234</v>
      </c>
      <c r="BE218" s="23">
        <v>101</v>
      </c>
      <c r="BF218" s="24">
        <v>63</v>
      </c>
      <c r="BG218" s="23">
        <v>58</v>
      </c>
      <c r="BH218" s="24">
        <v>198</v>
      </c>
      <c r="BI218" s="23">
        <v>108</v>
      </c>
      <c r="BJ218" s="24">
        <v>198</v>
      </c>
      <c r="BK218" s="23">
        <v>108</v>
      </c>
      <c r="BL218" s="24">
        <v>0</v>
      </c>
      <c r="BM218" s="20">
        <v>12</v>
      </c>
      <c r="BN218" s="19">
        <v>2044</v>
      </c>
      <c r="BO218" s="23">
        <v>560</v>
      </c>
      <c r="BP218" s="24">
        <v>469</v>
      </c>
      <c r="BQ218" s="23">
        <v>212</v>
      </c>
      <c r="BR218" s="24">
        <v>469</v>
      </c>
      <c r="BS218" s="23">
        <v>212</v>
      </c>
      <c r="BT218" s="26">
        <v>0</v>
      </c>
      <c r="BU218" s="23">
        <v>12</v>
      </c>
      <c r="BV218" s="24">
        <v>1331</v>
      </c>
      <c r="BW218" s="23">
        <v>303</v>
      </c>
      <c r="BX218" s="24">
        <v>1326</v>
      </c>
      <c r="BY218" s="23">
        <v>302</v>
      </c>
      <c r="BZ218" s="24">
        <v>5</v>
      </c>
      <c r="CA218" s="23">
        <v>9</v>
      </c>
      <c r="CB218" s="24">
        <v>244</v>
      </c>
      <c r="CC218" s="23">
        <v>180</v>
      </c>
      <c r="CD218" s="24">
        <v>244</v>
      </c>
      <c r="CE218" s="23">
        <v>180</v>
      </c>
      <c r="CF218" s="24">
        <v>0</v>
      </c>
      <c r="CG218" s="20">
        <v>12</v>
      </c>
    </row>
    <row r="219" spans="1:85" x14ac:dyDescent="0.3">
      <c r="A219" t="s">
        <v>437</v>
      </c>
      <c r="B219">
        <v>21133</v>
      </c>
      <c r="C219" t="s">
        <v>438</v>
      </c>
      <c r="D219" s="19">
        <v>32592</v>
      </c>
      <c r="E219" s="20">
        <v>1236</v>
      </c>
      <c r="F219" s="19">
        <v>4004</v>
      </c>
      <c r="G219" s="23">
        <v>1077</v>
      </c>
      <c r="H219" s="24">
        <v>1199</v>
      </c>
      <c r="I219" s="23">
        <v>633</v>
      </c>
      <c r="J219" s="24">
        <v>1157</v>
      </c>
      <c r="K219" s="23">
        <v>627</v>
      </c>
      <c r="L219" s="24">
        <v>42</v>
      </c>
      <c r="M219" s="23">
        <v>64</v>
      </c>
      <c r="N219" s="24">
        <v>2127</v>
      </c>
      <c r="O219" s="23">
        <v>548</v>
      </c>
      <c r="P219" s="24">
        <v>1840</v>
      </c>
      <c r="Q219" s="23">
        <v>512</v>
      </c>
      <c r="R219" s="24">
        <v>287</v>
      </c>
      <c r="S219" s="23">
        <v>168</v>
      </c>
      <c r="T219" s="24">
        <v>678</v>
      </c>
      <c r="U219" s="23">
        <v>233</v>
      </c>
      <c r="V219" s="24">
        <v>676</v>
      </c>
      <c r="W219" s="23">
        <v>233</v>
      </c>
      <c r="X219" s="24">
        <v>2</v>
      </c>
      <c r="Y219" s="20">
        <v>29</v>
      </c>
      <c r="Z219" s="19">
        <v>2074</v>
      </c>
      <c r="AA219" s="23">
        <v>488</v>
      </c>
      <c r="AB219" s="24">
        <v>619</v>
      </c>
      <c r="AC219" s="23">
        <v>278</v>
      </c>
      <c r="AD219" s="24">
        <v>608</v>
      </c>
      <c r="AE219" s="23">
        <v>278</v>
      </c>
      <c r="AF219" s="24">
        <v>11</v>
      </c>
      <c r="AG219" s="23">
        <v>19</v>
      </c>
      <c r="AH219" s="24">
        <v>1052</v>
      </c>
      <c r="AI219" s="23">
        <v>312</v>
      </c>
      <c r="AJ219" s="24">
        <v>830</v>
      </c>
      <c r="AK219" s="23">
        <v>246</v>
      </c>
      <c r="AL219" s="24">
        <v>222</v>
      </c>
      <c r="AM219" s="23">
        <v>141</v>
      </c>
      <c r="AN219" s="24">
        <v>403</v>
      </c>
      <c r="AO219" s="23">
        <v>125</v>
      </c>
      <c r="AP219" s="24">
        <v>403</v>
      </c>
      <c r="AQ219" s="23">
        <v>125</v>
      </c>
      <c r="AR219" s="24">
        <v>0</v>
      </c>
      <c r="AS219" s="20">
        <v>25</v>
      </c>
      <c r="AT219" s="19">
        <v>9836</v>
      </c>
      <c r="AU219" s="23">
        <v>1173</v>
      </c>
      <c r="AV219" s="24">
        <v>3104</v>
      </c>
      <c r="AW219" s="23">
        <v>603</v>
      </c>
      <c r="AX219" s="24">
        <v>3049</v>
      </c>
      <c r="AY219" s="23">
        <v>605</v>
      </c>
      <c r="AZ219" s="24">
        <v>55</v>
      </c>
      <c r="BA219" s="23">
        <v>57</v>
      </c>
      <c r="BB219" s="24">
        <v>5296</v>
      </c>
      <c r="BC219" s="23">
        <v>648</v>
      </c>
      <c r="BD219" s="24">
        <v>4747</v>
      </c>
      <c r="BE219" s="23">
        <v>624</v>
      </c>
      <c r="BF219" s="24">
        <v>549</v>
      </c>
      <c r="BG219" s="23">
        <v>208</v>
      </c>
      <c r="BH219" s="24">
        <v>1436</v>
      </c>
      <c r="BI219" s="23">
        <v>257</v>
      </c>
      <c r="BJ219" s="24">
        <v>1436</v>
      </c>
      <c r="BK219" s="23">
        <v>257</v>
      </c>
      <c r="BL219" s="24">
        <v>0</v>
      </c>
      <c r="BM219" s="20">
        <v>25</v>
      </c>
      <c r="BN219" s="19">
        <v>16678</v>
      </c>
      <c r="BO219" s="23">
        <v>1425</v>
      </c>
      <c r="BP219" s="24">
        <v>3042</v>
      </c>
      <c r="BQ219" s="23">
        <v>541</v>
      </c>
      <c r="BR219" s="24">
        <v>2890</v>
      </c>
      <c r="BS219" s="23">
        <v>518</v>
      </c>
      <c r="BT219" s="26">
        <v>152</v>
      </c>
      <c r="BU219" s="23">
        <v>137</v>
      </c>
      <c r="BV219" s="24">
        <v>11290</v>
      </c>
      <c r="BW219" s="23">
        <v>1010</v>
      </c>
      <c r="BX219" s="24">
        <v>11035</v>
      </c>
      <c r="BY219" s="23">
        <v>973</v>
      </c>
      <c r="BZ219" s="24">
        <v>255</v>
      </c>
      <c r="CA219" s="23">
        <v>123</v>
      </c>
      <c r="CB219" s="24">
        <v>2346</v>
      </c>
      <c r="CC219" s="23">
        <v>319</v>
      </c>
      <c r="CD219" s="24">
        <v>2333</v>
      </c>
      <c r="CE219" s="23">
        <v>317</v>
      </c>
      <c r="CF219" s="24">
        <v>13</v>
      </c>
      <c r="CG219" s="20">
        <v>21</v>
      </c>
    </row>
    <row r="220" spans="1:85" x14ac:dyDescent="0.3">
      <c r="A220" t="s">
        <v>439</v>
      </c>
      <c r="B220">
        <v>21136</v>
      </c>
      <c r="C220" t="s">
        <v>440</v>
      </c>
      <c r="D220" s="19">
        <v>33314</v>
      </c>
      <c r="E220" s="20">
        <v>1073</v>
      </c>
      <c r="F220" s="19">
        <v>4725</v>
      </c>
      <c r="G220" s="23">
        <v>1048</v>
      </c>
      <c r="H220" s="24">
        <v>1568</v>
      </c>
      <c r="I220" s="23">
        <v>607</v>
      </c>
      <c r="J220" s="24">
        <v>1354</v>
      </c>
      <c r="K220" s="23">
        <v>555</v>
      </c>
      <c r="L220" s="24">
        <v>214</v>
      </c>
      <c r="M220" s="23">
        <v>296</v>
      </c>
      <c r="N220" s="24">
        <v>2419</v>
      </c>
      <c r="O220" s="23">
        <v>580</v>
      </c>
      <c r="P220" s="24">
        <v>1706</v>
      </c>
      <c r="Q220" s="23">
        <v>460</v>
      </c>
      <c r="R220" s="24">
        <v>713</v>
      </c>
      <c r="S220" s="23">
        <v>350</v>
      </c>
      <c r="T220" s="24">
        <v>738</v>
      </c>
      <c r="U220" s="23">
        <v>230</v>
      </c>
      <c r="V220" s="24">
        <v>735</v>
      </c>
      <c r="W220" s="23">
        <v>231</v>
      </c>
      <c r="X220" s="24">
        <v>3</v>
      </c>
      <c r="Y220" s="20">
        <v>32</v>
      </c>
      <c r="Z220" s="19">
        <v>2217</v>
      </c>
      <c r="AA220" s="23">
        <v>622</v>
      </c>
      <c r="AB220" s="24">
        <v>549</v>
      </c>
      <c r="AC220" s="23">
        <v>223</v>
      </c>
      <c r="AD220" s="24">
        <v>475</v>
      </c>
      <c r="AE220" s="23">
        <v>203</v>
      </c>
      <c r="AF220" s="24">
        <v>74</v>
      </c>
      <c r="AG220" s="23">
        <v>92</v>
      </c>
      <c r="AH220" s="24">
        <v>1347</v>
      </c>
      <c r="AI220" s="23">
        <v>421</v>
      </c>
      <c r="AJ220" s="24">
        <v>984</v>
      </c>
      <c r="AK220" s="23">
        <v>272</v>
      </c>
      <c r="AL220" s="24">
        <v>363</v>
      </c>
      <c r="AM220" s="23">
        <v>281</v>
      </c>
      <c r="AN220" s="24">
        <v>321</v>
      </c>
      <c r="AO220" s="23">
        <v>106</v>
      </c>
      <c r="AP220" s="24">
        <v>321</v>
      </c>
      <c r="AQ220" s="23">
        <v>106</v>
      </c>
      <c r="AR220" s="24">
        <v>0</v>
      </c>
      <c r="AS220" s="20">
        <v>25</v>
      </c>
      <c r="AT220" s="19">
        <v>9454</v>
      </c>
      <c r="AU220" s="23">
        <v>932</v>
      </c>
      <c r="AV220" s="24">
        <v>2734</v>
      </c>
      <c r="AW220" s="23">
        <v>478</v>
      </c>
      <c r="AX220" s="24">
        <v>2697</v>
      </c>
      <c r="AY220" s="23">
        <v>473</v>
      </c>
      <c r="AZ220" s="24">
        <v>37</v>
      </c>
      <c r="BA220" s="23">
        <v>40</v>
      </c>
      <c r="BB220" s="24">
        <v>5426</v>
      </c>
      <c r="BC220" s="23">
        <v>551</v>
      </c>
      <c r="BD220" s="24">
        <v>4628</v>
      </c>
      <c r="BE220" s="23">
        <v>484</v>
      </c>
      <c r="BF220" s="24">
        <v>798</v>
      </c>
      <c r="BG220" s="23">
        <v>282</v>
      </c>
      <c r="BH220" s="24">
        <v>1294</v>
      </c>
      <c r="BI220" s="23">
        <v>193</v>
      </c>
      <c r="BJ220" s="24">
        <v>1281</v>
      </c>
      <c r="BK220" s="23">
        <v>191</v>
      </c>
      <c r="BL220" s="24">
        <v>13</v>
      </c>
      <c r="BM220" s="20">
        <v>38</v>
      </c>
      <c r="BN220" s="19">
        <v>16918</v>
      </c>
      <c r="BO220" s="23">
        <v>1037</v>
      </c>
      <c r="BP220" s="24">
        <v>2979</v>
      </c>
      <c r="BQ220" s="23">
        <v>400</v>
      </c>
      <c r="BR220" s="24">
        <v>2920</v>
      </c>
      <c r="BS220" s="23">
        <v>393</v>
      </c>
      <c r="BT220" s="26">
        <v>59</v>
      </c>
      <c r="BU220" s="23">
        <v>61</v>
      </c>
      <c r="BV220" s="24">
        <v>11609</v>
      </c>
      <c r="BW220" s="23">
        <v>742</v>
      </c>
      <c r="BX220" s="24">
        <v>11100</v>
      </c>
      <c r="BY220" s="23">
        <v>741</v>
      </c>
      <c r="BZ220" s="24">
        <v>509</v>
      </c>
      <c r="CA220" s="23">
        <v>265</v>
      </c>
      <c r="CB220" s="24">
        <v>2330</v>
      </c>
      <c r="CC220" s="23">
        <v>322</v>
      </c>
      <c r="CD220" s="24">
        <v>2330</v>
      </c>
      <c r="CE220" s="23">
        <v>322</v>
      </c>
      <c r="CF220" s="24">
        <v>0</v>
      </c>
      <c r="CG220" s="20">
        <v>25</v>
      </c>
    </row>
    <row r="221" spans="1:85" x14ac:dyDescent="0.3">
      <c r="A221" t="s">
        <v>441</v>
      </c>
      <c r="B221">
        <v>21140</v>
      </c>
      <c r="C221" t="s">
        <v>442</v>
      </c>
      <c r="D221" s="19">
        <v>3181</v>
      </c>
      <c r="E221" s="20">
        <v>334</v>
      </c>
      <c r="F221" s="19">
        <v>170</v>
      </c>
      <c r="G221" s="23">
        <v>118</v>
      </c>
      <c r="H221" s="24">
        <v>9</v>
      </c>
      <c r="I221" s="23">
        <v>25</v>
      </c>
      <c r="J221" s="24">
        <v>9</v>
      </c>
      <c r="K221" s="23">
        <v>25</v>
      </c>
      <c r="L221" s="24">
        <v>0</v>
      </c>
      <c r="M221" s="23">
        <v>24</v>
      </c>
      <c r="N221" s="24">
        <v>114</v>
      </c>
      <c r="O221" s="23">
        <v>80</v>
      </c>
      <c r="P221" s="24">
        <v>102</v>
      </c>
      <c r="Q221" s="23">
        <v>72</v>
      </c>
      <c r="R221" s="24">
        <v>12</v>
      </c>
      <c r="S221" s="23">
        <v>30</v>
      </c>
      <c r="T221" s="24">
        <v>47</v>
      </c>
      <c r="U221" s="23">
        <v>56</v>
      </c>
      <c r="V221" s="24">
        <v>47</v>
      </c>
      <c r="W221" s="23">
        <v>56</v>
      </c>
      <c r="X221" s="24">
        <v>0</v>
      </c>
      <c r="Y221" s="20">
        <v>24</v>
      </c>
      <c r="Z221" s="19">
        <v>117</v>
      </c>
      <c r="AA221" s="23">
        <v>76</v>
      </c>
      <c r="AB221" s="24">
        <v>11</v>
      </c>
      <c r="AC221" s="23">
        <v>17</v>
      </c>
      <c r="AD221" s="24">
        <v>11</v>
      </c>
      <c r="AE221" s="23">
        <v>17</v>
      </c>
      <c r="AF221" s="24">
        <v>0</v>
      </c>
      <c r="AG221" s="23">
        <v>12</v>
      </c>
      <c r="AH221" s="24">
        <v>62</v>
      </c>
      <c r="AI221" s="23">
        <v>49</v>
      </c>
      <c r="AJ221" s="24">
        <v>62</v>
      </c>
      <c r="AK221" s="23">
        <v>49</v>
      </c>
      <c r="AL221" s="24">
        <v>0</v>
      </c>
      <c r="AM221" s="23">
        <v>12</v>
      </c>
      <c r="AN221" s="24">
        <v>44</v>
      </c>
      <c r="AO221" s="23">
        <v>40</v>
      </c>
      <c r="AP221" s="24">
        <v>44</v>
      </c>
      <c r="AQ221" s="23">
        <v>40</v>
      </c>
      <c r="AR221" s="24">
        <v>0</v>
      </c>
      <c r="AS221" s="20">
        <v>12</v>
      </c>
      <c r="AT221" s="19">
        <v>631</v>
      </c>
      <c r="AU221" s="23">
        <v>262</v>
      </c>
      <c r="AV221" s="24">
        <v>173</v>
      </c>
      <c r="AW221" s="23">
        <v>110</v>
      </c>
      <c r="AX221" s="24">
        <v>173</v>
      </c>
      <c r="AY221" s="23">
        <v>110</v>
      </c>
      <c r="AZ221" s="24">
        <v>0</v>
      </c>
      <c r="BA221" s="23">
        <v>12</v>
      </c>
      <c r="BB221" s="24">
        <v>359</v>
      </c>
      <c r="BC221" s="23">
        <v>149</v>
      </c>
      <c r="BD221" s="24">
        <v>329</v>
      </c>
      <c r="BE221" s="23">
        <v>137</v>
      </c>
      <c r="BF221" s="24">
        <v>30</v>
      </c>
      <c r="BG221" s="23">
        <v>34</v>
      </c>
      <c r="BH221" s="24">
        <v>99</v>
      </c>
      <c r="BI221" s="23">
        <v>58</v>
      </c>
      <c r="BJ221" s="24">
        <v>99</v>
      </c>
      <c r="BK221" s="23">
        <v>58</v>
      </c>
      <c r="BL221" s="24">
        <v>0</v>
      </c>
      <c r="BM221" s="20">
        <v>12</v>
      </c>
      <c r="BN221" s="19">
        <v>2263</v>
      </c>
      <c r="BO221" s="23">
        <v>280</v>
      </c>
      <c r="BP221" s="24">
        <v>561</v>
      </c>
      <c r="BQ221" s="23">
        <v>146</v>
      </c>
      <c r="BR221" s="24">
        <v>550</v>
      </c>
      <c r="BS221" s="23">
        <v>146</v>
      </c>
      <c r="BT221" s="26">
        <v>11</v>
      </c>
      <c r="BU221" s="23">
        <v>16</v>
      </c>
      <c r="BV221" s="24">
        <v>1351</v>
      </c>
      <c r="BW221" s="23">
        <v>195</v>
      </c>
      <c r="BX221" s="24">
        <v>1274</v>
      </c>
      <c r="BY221" s="23">
        <v>182</v>
      </c>
      <c r="BZ221" s="24">
        <v>77</v>
      </c>
      <c r="CA221" s="23">
        <v>41</v>
      </c>
      <c r="CB221" s="24">
        <v>351</v>
      </c>
      <c r="CC221" s="23">
        <v>103</v>
      </c>
      <c r="CD221" s="24">
        <v>351</v>
      </c>
      <c r="CE221" s="23">
        <v>103</v>
      </c>
      <c r="CF221" s="24">
        <v>0</v>
      </c>
      <c r="CG221" s="20">
        <v>12</v>
      </c>
    </row>
    <row r="222" spans="1:85" x14ac:dyDescent="0.3">
      <c r="A222" t="s">
        <v>443</v>
      </c>
      <c r="B222">
        <v>21144</v>
      </c>
      <c r="C222" t="s">
        <v>444</v>
      </c>
      <c r="D222" s="19">
        <v>34369</v>
      </c>
      <c r="E222" s="20">
        <v>1345</v>
      </c>
      <c r="F222" s="19">
        <v>3635</v>
      </c>
      <c r="G222" s="23">
        <v>1074</v>
      </c>
      <c r="H222" s="24">
        <v>1398</v>
      </c>
      <c r="I222" s="23">
        <v>552</v>
      </c>
      <c r="J222" s="24">
        <v>1275</v>
      </c>
      <c r="K222" s="23">
        <v>543</v>
      </c>
      <c r="L222" s="24">
        <v>123</v>
      </c>
      <c r="M222" s="23">
        <v>174</v>
      </c>
      <c r="N222" s="24">
        <v>1873</v>
      </c>
      <c r="O222" s="23">
        <v>570</v>
      </c>
      <c r="P222" s="24">
        <v>1390</v>
      </c>
      <c r="Q222" s="23">
        <v>485</v>
      </c>
      <c r="R222" s="24">
        <v>483</v>
      </c>
      <c r="S222" s="23">
        <v>282</v>
      </c>
      <c r="T222" s="24">
        <v>364</v>
      </c>
      <c r="U222" s="23">
        <v>200</v>
      </c>
      <c r="V222" s="24">
        <v>364</v>
      </c>
      <c r="W222" s="23">
        <v>200</v>
      </c>
      <c r="X222" s="24">
        <v>0</v>
      </c>
      <c r="Y222" s="20">
        <v>50</v>
      </c>
      <c r="Z222" s="19">
        <v>2104</v>
      </c>
      <c r="AA222" s="23">
        <v>831</v>
      </c>
      <c r="AB222" s="24">
        <v>949</v>
      </c>
      <c r="AC222" s="23">
        <v>499</v>
      </c>
      <c r="AD222" s="24">
        <v>862</v>
      </c>
      <c r="AE222" s="23">
        <v>447</v>
      </c>
      <c r="AF222" s="24">
        <v>87</v>
      </c>
      <c r="AG222" s="23">
        <v>97</v>
      </c>
      <c r="AH222" s="24">
        <v>1025</v>
      </c>
      <c r="AI222" s="23">
        <v>361</v>
      </c>
      <c r="AJ222" s="24">
        <v>737</v>
      </c>
      <c r="AK222" s="23">
        <v>240</v>
      </c>
      <c r="AL222" s="24">
        <v>288</v>
      </c>
      <c r="AM222" s="23">
        <v>249</v>
      </c>
      <c r="AN222" s="24">
        <v>130</v>
      </c>
      <c r="AO222" s="23">
        <v>72</v>
      </c>
      <c r="AP222" s="24">
        <v>130</v>
      </c>
      <c r="AQ222" s="23">
        <v>72</v>
      </c>
      <c r="AR222" s="24">
        <v>0</v>
      </c>
      <c r="AS222" s="20">
        <v>25</v>
      </c>
      <c r="AT222" s="19">
        <v>8361</v>
      </c>
      <c r="AU222" s="23">
        <v>1097</v>
      </c>
      <c r="AV222" s="24">
        <v>2919</v>
      </c>
      <c r="AW222" s="23">
        <v>622</v>
      </c>
      <c r="AX222" s="24">
        <v>2781</v>
      </c>
      <c r="AY222" s="23">
        <v>599</v>
      </c>
      <c r="AZ222" s="24">
        <v>138</v>
      </c>
      <c r="BA222" s="23">
        <v>101</v>
      </c>
      <c r="BB222" s="24">
        <v>4350</v>
      </c>
      <c r="BC222" s="23">
        <v>540</v>
      </c>
      <c r="BD222" s="24">
        <v>3980</v>
      </c>
      <c r="BE222" s="23">
        <v>478</v>
      </c>
      <c r="BF222" s="24">
        <v>370</v>
      </c>
      <c r="BG222" s="23">
        <v>151</v>
      </c>
      <c r="BH222" s="24">
        <v>1092</v>
      </c>
      <c r="BI222" s="23">
        <v>228</v>
      </c>
      <c r="BJ222" s="24">
        <v>1092</v>
      </c>
      <c r="BK222" s="23">
        <v>228</v>
      </c>
      <c r="BL222" s="24">
        <v>0</v>
      </c>
      <c r="BM222" s="20">
        <v>25</v>
      </c>
      <c r="BN222" s="19">
        <v>20269</v>
      </c>
      <c r="BO222" s="23">
        <v>1239</v>
      </c>
      <c r="BP222" s="24">
        <v>4705</v>
      </c>
      <c r="BQ222" s="23">
        <v>501</v>
      </c>
      <c r="BR222" s="24">
        <v>4560</v>
      </c>
      <c r="BS222" s="23">
        <v>507</v>
      </c>
      <c r="BT222" s="26">
        <v>145</v>
      </c>
      <c r="BU222" s="23">
        <v>118</v>
      </c>
      <c r="BV222" s="24">
        <v>13812</v>
      </c>
      <c r="BW222" s="23">
        <v>839</v>
      </c>
      <c r="BX222" s="24">
        <v>13306</v>
      </c>
      <c r="BY222" s="23">
        <v>854</v>
      </c>
      <c r="BZ222" s="24">
        <v>506</v>
      </c>
      <c r="CA222" s="23">
        <v>213</v>
      </c>
      <c r="CB222" s="24">
        <v>1752</v>
      </c>
      <c r="CC222" s="23">
        <v>261</v>
      </c>
      <c r="CD222" s="24">
        <v>1752</v>
      </c>
      <c r="CE222" s="23">
        <v>261</v>
      </c>
      <c r="CF222" s="24">
        <v>0</v>
      </c>
      <c r="CG222" s="20">
        <v>25</v>
      </c>
    </row>
    <row r="223" spans="1:85" x14ac:dyDescent="0.3">
      <c r="A223" t="s">
        <v>445</v>
      </c>
      <c r="B223">
        <v>21146</v>
      </c>
      <c r="C223" t="s">
        <v>446</v>
      </c>
      <c r="D223" s="19">
        <v>27466</v>
      </c>
      <c r="E223" s="20">
        <v>985</v>
      </c>
      <c r="F223" s="19">
        <v>1016</v>
      </c>
      <c r="G223" s="23">
        <v>331</v>
      </c>
      <c r="H223" s="24">
        <v>118</v>
      </c>
      <c r="I223" s="23">
        <v>102</v>
      </c>
      <c r="J223" s="24">
        <v>118</v>
      </c>
      <c r="K223" s="23">
        <v>102</v>
      </c>
      <c r="L223" s="24">
        <v>0</v>
      </c>
      <c r="M223" s="23">
        <v>44</v>
      </c>
      <c r="N223" s="24">
        <v>690</v>
      </c>
      <c r="O223" s="23">
        <v>261</v>
      </c>
      <c r="P223" s="24">
        <v>657</v>
      </c>
      <c r="Q223" s="23">
        <v>255</v>
      </c>
      <c r="R223" s="24">
        <v>33</v>
      </c>
      <c r="S223" s="23">
        <v>70</v>
      </c>
      <c r="T223" s="24">
        <v>208</v>
      </c>
      <c r="U223" s="23">
        <v>133</v>
      </c>
      <c r="V223" s="24">
        <v>208</v>
      </c>
      <c r="W223" s="23">
        <v>133</v>
      </c>
      <c r="X223" s="24">
        <v>0</v>
      </c>
      <c r="Y223" s="20">
        <v>44</v>
      </c>
      <c r="Z223" s="19">
        <v>1172</v>
      </c>
      <c r="AA223" s="23">
        <v>400</v>
      </c>
      <c r="AB223" s="24">
        <v>453</v>
      </c>
      <c r="AC223" s="23">
        <v>258</v>
      </c>
      <c r="AD223" s="24">
        <v>453</v>
      </c>
      <c r="AE223" s="23">
        <v>258</v>
      </c>
      <c r="AF223" s="24">
        <v>0</v>
      </c>
      <c r="AG223" s="23">
        <v>22</v>
      </c>
      <c r="AH223" s="24">
        <v>407</v>
      </c>
      <c r="AI223" s="23">
        <v>155</v>
      </c>
      <c r="AJ223" s="24">
        <v>402</v>
      </c>
      <c r="AK223" s="23">
        <v>155</v>
      </c>
      <c r="AL223" s="24">
        <v>5</v>
      </c>
      <c r="AM223" s="23">
        <v>7</v>
      </c>
      <c r="AN223" s="24">
        <v>312</v>
      </c>
      <c r="AO223" s="23">
        <v>127</v>
      </c>
      <c r="AP223" s="24">
        <v>312</v>
      </c>
      <c r="AQ223" s="23">
        <v>127</v>
      </c>
      <c r="AR223" s="24">
        <v>0</v>
      </c>
      <c r="AS223" s="20">
        <v>22</v>
      </c>
      <c r="AT223" s="19">
        <v>4075</v>
      </c>
      <c r="AU223" s="23">
        <v>794</v>
      </c>
      <c r="AV223" s="24">
        <v>1313</v>
      </c>
      <c r="AW223" s="23">
        <v>363</v>
      </c>
      <c r="AX223" s="24">
        <v>1313</v>
      </c>
      <c r="AY223" s="23">
        <v>363</v>
      </c>
      <c r="AZ223" s="24">
        <v>0</v>
      </c>
      <c r="BA223" s="23">
        <v>22</v>
      </c>
      <c r="BB223" s="24">
        <v>1923</v>
      </c>
      <c r="BC223" s="23">
        <v>455</v>
      </c>
      <c r="BD223" s="24">
        <v>1770</v>
      </c>
      <c r="BE223" s="23">
        <v>397</v>
      </c>
      <c r="BF223" s="24">
        <v>153</v>
      </c>
      <c r="BG223" s="23">
        <v>130</v>
      </c>
      <c r="BH223" s="24">
        <v>839</v>
      </c>
      <c r="BI223" s="23">
        <v>225</v>
      </c>
      <c r="BJ223" s="24">
        <v>839</v>
      </c>
      <c r="BK223" s="23">
        <v>225</v>
      </c>
      <c r="BL223" s="24">
        <v>0</v>
      </c>
      <c r="BM223" s="20">
        <v>22</v>
      </c>
      <c r="BN223" s="19">
        <v>21203</v>
      </c>
      <c r="BO223" s="23">
        <v>1165</v>
      </c>
      <c r="BP223" s="24">
        <v>5854</v>
      </c>
      <c r="BQ223" s="23">
        <v>588</v>
      </c>
      <c r="BR223" s="24">
        <v>5772</v>
      </c>
      <c r="BS223" s="23">
        <v>586</v>
      </c>
      <c r="BT223" s="26">
        <v>82</v>
      </c>
      <c r="BU223" s="23">
        <v>69</v>
      </c>
      <c r="BV223" s="24">
        <v>12386</v>
      </c>
      <c r="BW223" s="23">
        <v>709</v>
      </c>
      <c r="BX223" s="24">
        <v>12182</v>
      </c>
      <c r="BY223" s="23">
        <v>703</v>
      </c>
      <c r="BZ223" s="24">
        <v>204</v>
      </c>
      <c r="CA223" s="23">
        <v>142</v>
      </c>
      <c r="CB223" s="24">
        <v>2963</v>
      </c>
      <c r="CC223" s="23">
        <v>306</v>
      </c>
      <c r="CD223" s="24">
        <v>2963</v>
      </c>
      <c r="CE223" s="23">
        <v>306</v>
      </c>
      <c r="CF223" s="24">
        <v>0</v>
      </c>
      <c r="CG223" s="20">
        <v>22</v>
      </c>
    </row>
    <row r="224" spans="1:85" x14ac:dyDescent="0.3">
      <c r="A224" t="s">
        <v>447</v>
      </c>
      <c r="B224">
        <v>21152</v>
      </c>
      <c r="C224" t="s">
        <v>448</v>
      </c>
      <c r="D224" s="19">
        <v>5854</v>
      </c>
      <c r="E224" s="20">
        <v>594</v>
      </c>
      <c r="F224" s="19">
        <v>332</v>
      </c>
      <c r="G224" s="23">
        <v>255</v>
      </c>
      <c r="H224" s="24">
        <v>72</v>
      </c>
      <c r="I224" s="23">
        <v>120</v>
      </c>
      <c r="J224" s="24">
        <v>72</v>
      </c>
      <c r="K224" s="23">
        <v>120</v>
      </c>
      <c r="L224" s="24">
        <v>0</v>
      </c>
      <c r="M224" s="23">
        <v>34</v>
      </c>
      <c r="N224" s="24">
        <v>168</v>
      </c>
      <c r="O224" s="23">
        <v>142</v>
      </c>
      <c r="P224" s="24">
        <v>143</v>
      </c>
      <c r="Q224" s="23">
        <v>133</v>
      </c>
      <c r="R224" s="24">
        <v>25</v>
      </c>
      <c r="S224" s="23">
        <v>48</v>
      </c>
      <c r="T224" s="24">
        <v>92</v>
      </c>
      <c r="U224" s="23">
        <v>105</v>
      </c>
      <c r="V224" s="24">
        <v>92</v>
      </c>
      <c r="W224" s="23">
        <v>105</v>
      </c>
      <c r="X224" s="24">
        <v>0</v>
      </c>
      <c r="Y224" s="20">
        <v>34</v>
      </c>
      <c r="Z224" s="19">
        <v>318</v>
      </c>
      <c r="AA224" s="23">
        <v>214</v>
      </c>
      <c r="AB224" s="24">
        <v>120</v>
      </c>
      <c r="AC224" s="23">
        <v>124</v>
      </c>
      <c r="AD224" s="24">
        <v>120</v>
      </c>
      <c r="AE224" s="23">
        <v>124</v>
      </c>
      <c r="AF224" s="24">
        <v>0</v>
      </c>
      <c r="AG224" s="23">
        <v>17</v>
      </c>
      <c r="AH224" s="24">
        <v>168</v>
      </c>
      <c r="AI224" s="23">
        <v>100</v>
      </c>
      <c r="AJ224" s="24">
        <v>105</v>
      </c>
      <c r="AK224" s="23">
        <v>76</v>
      </c>
      <c r="AL224" s="24">
        <v>63</v>
      </c>
      <c r="AM224" s="23">
        <v>66</v>
      </c>
      <c r="AN224" s="24">
        <v>30</v>
      </c>
      <c r="AO224" s="23">
        <v>35</v>
      </c>
      <c r="AP224" s="24">
        <v>30</v>
      </c>
      <c r="AQ224" s="23">
        <v>35</v>
      </c>
      <c r="AR224" s="24">
        <v>0</v>
      </c>
      <c r="AS224" s="20">
        <v>17</v>
      </c>
      <c r="AT224" s="19">
        <v>1288</v>
      </c>
      <c r="AU224" s="23">
        <v>511</v>
      </c>
      <c r="AV224" s="24">
        <v>296</v>
      </c>
      <c r="AW224" s="23">
        <v>201</v>
      </c>
      <c r="AX224" s="24">
        <v>296</v>
      </c>
      <c r="AY224" s="23">
        <v>201</v>
      </c>
      <c r="AZ224" s="24">
        <v>0</v>
      </c>
      <c r="BA224" s="23">
        <v>17</v>
      </c>
      <c r="BB224" s="24">
        <v>826</v>
      </c>
      <c r="BC224" s="23">
        <v>351</v>
      </c>
      <c r="BD224" s="24">
        <v>766</v>
      </c>
      <c r="BE224" s="23">
        <v>352</v>
      </c>
      <c r="BF224" s="24">
        <v>60</v>
      </c>
      <c r="BG224" s="23">
        <v>53</v>
      </c>
      <c r="BH224" s="24">
        <v>166</v>
      </c>
      <c r="BI224" s="23">
        <v>75</v>
      </c>
      <c r="BJ224" s="24">
        <v>166</v>
      </c>
      <c r="BK224" s="23">
        <v>75</v>
      </c>
      <c r="BL224" s="24">
        <v>0</v>
      </c>
      <c r="BM224" s="20">
        <v>17</v>
      </c>
      <c r="BN224" s="19">
        <v>3916</v>
      </c>
      <c r="BO224" s="23">
        <v>610</v>
      </c>
      <c r="BP224" s="24">
        <v>1078</v>
      </c>
      <c r="BQ224" s="23">
        <v>306</v>
      </c>
      <c r="BR224" s="24">
        <v>1078</v>
      </c>
      <c r="BS224" s="23">
        <v>306</v>
      </c>
      <c r="BT224" s="26">
        <v>0</v>
      </c>
      <c r="BU224" s="23">
        <v>17</v>
      </c>
      <c r="BV224" s="24">
        <v>2515</v>
      </c>
      <c r="BW224" s="23">
        <v>436</v>
      </c>
      <c r="BX224" s="24">
        <v>2337</v>
      </c>
      <c r="BY224" s="23">
        <v>418</v>
      </c>
      <c r="BZ224" s="24">
        <v>178</v>
      </c>
      <c r="CA224" s="23">
        <v>147</v>
      </c>
      <c r="CB224" s="24">
        <v>323</v>
      </c>
      <c r="CC224" s="23">
        <v>146</v>
      </c>
      <c r="CD224" s="24">
        <v>323</v>
      </c>
      <c r="CE224" s="23">
        <v>146</v>
      </c>
      <c r="CF224" s="24">
        <v>0</v>
      </c>
      <c r="CG224" s="20">
        <v>17</v>
      </c>
    </row>
    <row r="225" spans="1:85" x14ac:dyDescent="0.3">
      <c r="A225" t="s">
        <v>449</v>
      </c>
      <c r="B225">
        <v>21153</v>
      </c>
      <c r="C225" t="s">
        <v>450</v>
      </c>
      <c r="D225" s="19">
        <v>372</v>
      </c>
      <c r="E225" s="20">
        <v>173</v>
      </c>
      <c r="F225" s="19">
        <v>5</v>
      </c>
      <c r="G225" s="23">
        <v>21</v>
      </c>
      <c r="H225" s="24">
        <v>0</v>
      </c>
      <c r="I225" s="23">
        <v>24</v>
      </c>
      <c r="J225" s="24">
        <v>0</v>
      </c>
      <c r="K225" s="23">
        <v>24</v>
      </c>
      <c r="L225" s="24">
        <v>0</v>
      </c>
      <c r="M225" s="23">
        <v>24</v>
      </c>
      <c r="N225" s="24">
        <v>0</v>
      </c>
      <c r="O225" s="23">
        <v>24</v>
      </c>
      <c r="P225" s="24">
        <v>0</v>
      </c>
      <c r="Q225" s="23">
        <v>24</v>
      </c>
      <c r="R225" s="24">
        <v>0</v>
      </c>
      <c r="S225" s="23">
        <v>24</v>
      </c>
      <c r="T225" s="24">
        <v>5</v>
      </c>
      <c r="U225" s="23">
        <v>21</v>
      </c>
      <c r="V225" s="24">
        <v>5</v>
      </c>
      <c r="W225" s="23">
        <v>21</v>
      </c>
      <c r="X225" s="24">
        <v>0</v>
      </c>
      <c r="Y225" s="20">
        <v>24</v>
      </c>
      <c r="Z225" s="19">
        <v>0</v>
      </c>
      <c r="AA225" s="23">
        <v>12</v>
      </c>
      <c r="AB225" s="24">
        <v>0</v>
      </c>
      <c r="AC225" s="23">
        <v>12</v>
      </c>
      <c r="AD225" s="24">
        <v>0</v>
      </c>
      <c r="AE225" s="23">
        <v>12</v>
      </c>
      <c r="AF225" s="24">
        <v>0</v>
      </c>
      <c r="AG225" s="23">
        <v>12</v>
      </c>
      <c r="AH225" s="24">
        <v>0</v>
      </c>
      <c r="AI225" s="23">
        <v>12</v>
      </c>
      <c r="AJ225" s="24">
        <v>0</v>
      </c>
      <c r="AK225" s="23">
        <v>12</v>
      </c>
      <c r="AL225" s="24">
        <v>0</v>
      </c>
      <c r="AM225" s="23">
        <v>12</v>
      </c>
      <c r="AN225" s="24">
        <v>0</v>
      </c>
      <c r="AO225" s="23">
        <v>12</v>
      </c>
      <c r="AP225" s="24">
        <v>0</v>
      </c>
      <c r="AQ225" s="23">
        <v>12</v>
      </c>
      <c r="AR225" s="24">
        <v>0</v>
      </c>
      <c r="AS225" s="20">
        <v>12</v>
      </c>
      <c r="AT225" s="19">
        <v>105</v>
      </c>
      <c r="AU225" s="23">
        <v>64</v>
      </c>
      <c r="AV225" s="24">
        <v>13</v>
      </c>
      <c r="AW225" s="23">
        <v>13</v>
      </c>
      <c r="AX225" s="24">
        <v>13</v>
      </c>
      <c r="AY225" s="23">
        <v>13</v>
      </c>
      <c r="AZ225" s="24">
        <v>0</v>
      </c>
      <c r="BA225" s="23">
        <v>12</v>
      </c>
      <c r="BB225" s="24">
        <v>47</v>
      </c>
      <c r="BC225" s="23">
        <v>49</v>
      </c>
      <c r="BD225" s="24">
        <v>23</v>
      </c>
      <c r="BE225" s="23">
        <v>26</v>
      </c>
      <c r="BF225" s="24">
        <v>24</v>
      </c>
      <c r="BG225" s="23">
        <v>38</v>
      </c>
      <c r="BH225" s="24">
        <v>45</v>
      </c>
      <c r="BI225" s="23">
        <v>51</v>
      </c>
      <c r="BJ225" s="24">
        <v>45</v>
      </c>
      <c r="BK225" s="23">
        <v>51</v>
      </c>
      <c r="BL225" s="24">
        <v>0</v>
      </c>
      <c r="BM225" s="20">
        <v>12</v>
      </c>
      <c r="BN225" s="19">
        <v>262</v>
      </c>
      <c r="BO225" s="23">
        <v>175</v>
      </c>
      <c r="BP225" s="24">
        <v>101</v>
      </c>
      <c r="BQ225" s="23">
        <v>93</v>
      </c>
      <c r="BR225" s="24">
        <v>101</v>
      </c>
      <c r="BS225" s="23">
        <v>93</v>
      </c>
      <c r="BT225" s="26">
        <v>0</v>
      </c>
      <c r="BU225" s="23">
        <v>12</v>
      </c>
      <c r="BV225" s="24">
        <v>127</v>
      </c>
      <c r="BW225" s="23">
        <v>87</v>
      </c>
      <c r="BX225" s="24">
        <v>127</v>
      </c>
      <c r="BY225" s="23">
        <v>87</v>
      </c>
      <c r="BZ225" s="24">
        <v>0</v>
      </c>
      <c r="CA225" s="23">
        <v>12</v>
      </c>
      <c r="CB225" s="24">
        <v>34</v>
      </c>
      <c r="CC225" s="23">
        <v>31</v>
      </c>
      <c r="CD225" s="24">
        <v>34</v>
      </c>
      <c r="CE225" s="23">
        <v>31</v>
      </c>
      <c r="CF225" s="24">
        <v>0</v>
      </c>
      <c r="CG225" s="20">
        <v>12</v>
      </c>
    </row>
    <row r="226" spans="1:85" x14ac:dyDescent="0.3">
      <c r="A226" t="s">
        <v>451</v>
      </c>
      <c r="B226">
        <v>21154</v>
      </c>
      <c r="C226" t="s">
        <v>452</v>
      </c>
      <c r="D226" s="19">
        <v>6007</v>
      </c>
      <c r="E226" s="20">
        <v>717</v>
      </c>
      <c r="F226" s="19">
        <v>739</v>
      </c>
      <c r="G226" s="23">
        <v>347</v>
      </c>
      <c r="H226" s="24">
        <v>179</v>
      </c>
      <c r="I226" s="23">
        <v>173</v>
      </c>
      <c r="J226" s="24">
        <v>179</v>
      </c>
      <c r="K226" s="23">
        <v>173</v>
      </c>
      <c r="L226" s="24">
        <v>0</v>
      </c>
      <c r="M226" s="23">
        <v>34</v>
      </c>
      <c r="N226" s="24">
        <v>330</v>
      </c>
      <c r="O226" s="23">
        <v>169</v>
      </c>
      <c r="P226" s="24">
        <v>312</v>
      </c>
      <c r="Q226" s="23">
        <v>163</v>
      </c>
      <c r="R226" s="24">
        <v>18</v>
      </c>
      <c r="S226" s="23">
        <v>28</v>
      </c>
      <c r="T226" s="24">
        <v>230</v>
      </c>
      <c r="U226" s="23">
        <v>140</v>
      </c>
      <c r="V226" s="24">
        <v>230</v>
      </c>
      <c r="W226" s="23">
        <v>140</v>
      </c>
      <c r="X226" s="24">
        <v>0</v>
      </c>
      <c r="Y226" s="20">
        <v>34</v>
      </c>
      <c r="Z226" s="19">
        <v>378</v>
      </c>
      <c r="AA226" s="23">
        <v>201</v>
      </c>
      <c r="AB226" s="24">
        <v>95</v>
      </c>
      <c r="AC226" s="23">
        <v>80</v>
      </c>
      <c r="AD226" s="24">
        <v>95</v>
      </c>
      <c r="AE226" s="23">
        <v>80</v>
      </c>
      <c r="AF226" s="24">
        <v>0</v>
      </c>
      <c r="AG226" s="23">
        <v>17</v>
      </c>
      <c r="AH226" s="24">
        <v>153</v>
      </c>
      <c r="AI226" s="23">
        <v>88</v>
      </c>
      <c r="AJ226" s="24">
        <v>116</v>
      </c>
      <c r="AK226" s="23">
        <v>73</v>
      </c>
      <c r="AL226" s="24">
        <v>37</v>
      </c>
      <c r="AM226" s="23">
        <v>35</v>
      </c>
      <c r="AN226" s="24">
        <v>130</v>
      </c>
      <c r="AO226" s="23">
        <v>93</v>
      </c>
      <c r="AP226" s="24">
        <v>130</v>
      </c>
      <c r="AQ226" s="23">
        <v>93</v>
      </c>
      <c r="AR226" s="24">
        <v>0</v>
      </c>
      <c r="AS226" s="20">
        <v>17</v>
      </c>
      <c r="AT226" s="19">
        <v>1364</v>
      </c>
      <c r="AU226" s="23">
        <v>423</v>
      </c>
      <c r="AV226" s="24">
        <v>370</v>
      </c>
      <c r="AW226" s="23">
        <v>196</v>
      </c>
      <c r="AX226" s="24">
        <v>350</v>
      </c>
      <c r="AY226" s="23">
        <v>195</v>
      </c>
      <c r="AZ226" s="24">
        <v>20</v>
      </c>
      <c r="BA226" s="23">
        <v>28</v>
      </c>
      <c r="BB226" s="24">
        <v>649</v>
      </c>
      <c r="BC226" s="23">
        <v>188</v>
      </c>
      <c r="BD226" s="24">
        <v>571</v>
      </c>
      <c r="BE226" s="23">
        <v>166</v>
      </c>
      <c r="BF226" s="24">
        <v>78</v>
      </c>
      <c r="BG226" s="23">
        <v>91</v>
      </c>
      <c r="BH226" s="24">
        <v>345</v>
      </c>
      <c r="BI226" s="23">
        <v>184</v>
      </c>
      <c r="BJ226" s="24">
        <v>345</v>
      </c>
      <c r="BK226" s="23">
        <v>184</v>
      </c>
      <c r="BL226" s="24">
        <v>0</v>
      </c>
      <c r="BM226" s="20">
        <v>17</v>
      </c>
      <c r="BN226" s="19">
        <v>3526</v>
      </c>
      <c r="BO226" s="23">
        <v>629</v>
      </c>
      <c r="BP226" s="24">
        <v>705</v>
      </c>
      <c r="BQ226" s="23">
        <v>236</v>
      </c>
      <c r="BR226" s="24">
        <v>705</v>
      </c>
      <c r="BS226" s="23">
        <v>236</v>
      </c>
      <c r="BT226" s="26">
        <v>0</v>
      </c>
      <c r="BU226" s="23">
        <v>17</v>
      </c>
      <c r="BV226" s="24">
        <v>2421</v>
      </c>
      <c r="BW226" s="23">
        <v>404</v>
      </c>
      <c r="BX226" s="24">
        <v>2324</v>
      </c>
      <c r="BY226" s="23">
        <v>370</v>
      </c>
      <c r="BZ226" s="24">
        <v>97</v>
      </c>
      <c r="CA226" s="23">
        <v>72</v>
      </c>
      <c r="CB226" s="24">
        <v>400</v>
      </c>
      <c r="CC226" s="23">
        <v>131</v>
      </c>
      <c r="CD226" s="24">
        <v>400</v>
      </c>
      <c r="CE226" s="23">
        <v>131</v>
      </c>
      <c r="CF226" s="24">
        <v>0</v>
      </c>
      <c r="CG226" s="20">
        <v>17</v>
      </c>
    </row>
    <row r="227" spans="1:85" x14ac:dyDescent="0.3">
      <c r="A227" t="s">
        <v>453</v>
      </c>
      <c r="B227">
        <v>21155</v>
      </c>
      <c r="C227" t="s">
        <v>454</v>
      </c>
      <c r="D227" s="19">
        <v>2776</v>
      </c>
      <c r="E227" s="20">
        <v>434</v>
      </c>
      <c r="F227" s="19">
        <v>271</v>
      </c>
      <c r="G227" s="23">
        <v>232</v>
      </c>
      <c r="H227" s="24">
        <v>53</v>
      </c>
      <c r="I227" s="23">
        <v>73</v>
      </c>
      <c r="J227" s="24">
        <v>53</v>
      </c>
      <c r="K227" s="23">
        <v>73</v>
      </c>
      <c r="L227" s="24">
        <v>0</v>
      </c>
      <c r="M227" s="23">
        <v>24</v>
      </c>
      <c r="N227" s="24">
        <v>199</v>
      </c>
      <c r="O227" s="23">
        <v>170</v>
      </c>
      <c r="P227" s="24">
        <v>199</v>
      </c>
      <c r="Q227" s="23">
        <v>170</v>
      </c>
      <c r="R227" s="24">
        <v>0</v>
      </c>
      <c r="S227" s="23">
        <v>24</v>
      </c>
      <c r="T227" s="24">
        <v>19</v>
      </c>
      <c r="U227" s="23">
        <v>32</v>
      </c>
      <c r="V227" s="24">
        <v>19</v>
      </c>
      <c r="W227" s="23">
        <v>32</v>
      </c>
      <c r="X227" s="24">
        <v>0</v>
      </c>
      <c r="Y227" s="20">
        <v>24</v>
      </c>
      <c r="Z227" s="19">
        <v>285</v>
      </c>
      <c r="AA227" s="23">
        <v>248</v>
      </c>
      <c r="AB227" s="24">
        <v>107</v>
      </c>
      <c r="AC227" s="23">
        <v>104</v>
      </c>
      <c r="AD227" s="24">
        <v>53</v>
      </c>
      <c r="AE227" s="23">
        <v>61</v>
      </c>
      <c r="AF227" s="24">
        <v>54</v>
      </c>
      <c r="AG227" s="23">
        <v>85</v>
      </c>
      <c r="AH227" s="24">
        <v>178</v>
      </c>
      <c r="AI227" s="23">
        <v>149</v>
      </c>
      <c r="AJ227" s="24">
        <v>118</v>
      </c>
      <c r="AK227" s="23">
        <v>118</v>
      </c>
      <c r="AL227" s="24">
        <v>60</v>
      </c>
      <c r="AM227" s="23">
        <v>93</v>
      </c>
      <c r="AN227" s="24">
        <v>0</v>
      </c>
      <c r="AO227" s="23">
        <v>12</v>
      </c>
      <c r="AP227" s="24">
        <v>0</v>
      </c>
      <c r="AQ227" s="23">
        <v>12</v>
      </c>
      <c r="AR227" s="24">
        <v>0</v>
      </c>
      <c r="AS227" s="20">
        <v>12</v>
      </c>
      <c r="AT227" s="19">
        <v>550</v>
      </c>
      <c r="AU227" s="23">
        <v>207</v>
      </c>
      <c r="AV227" s="24">
        <v>137</v>
      </c>
      <c r="AW227" s="23">
        <v>74</v>
      </c>
      <c r="AX227" s="24">
        <v>137</v>
      </c>
      <c r="AY227" s="23">
        <v>74</v>
      </c>
      <c r="AZ227" s="24">
        <v>0</v>
      </c>
      <c r="BA227" s="23">
        <v>12</v>
      </c>
      <c r="BB227" s="24">
        <v>356</v>
      </c>
      <c r="BC227" s="23">
        <v>143</v>
      </c>
      <c r="BD227" s="24">
        <v>356</v>
      </c>
      <c r="BE227" s="23">
        <v>143</v>
      </c>
      <c r="BF227" s="24">
        <v>0</v>
      </c>
      <c r="BG227" s="23">
        <v>12</v>
      </c>
      <c r="BH227" s="24">
        <v>57</v>
      </c>
      <c r="BI227" s="23">
        <v>42</v>
      </c>
      <c r="BJ227" s="24">
        <v>57</v>
      </c>
      <c r="BK227" s="23">
        <v>42</v>
      </c>
      <c r="BL227" s="24">
        <v>0</v>
      </c>
      <c r="BM227" s="20">
        <v>12</v>
      </c>
      <c r="BN227" s="19">
        <v>1670</v>
      </c>
      <c r="BO227" s="23">
        <v>325</v>
      </c>
      <c r="BP227" s="24">
        <v>248</v>
      </c>
      <c r="BQ227" s="23">
        <v>115</v>
      </c>
      <c r="BR227" s="24">
        <v>248</v>
      </c>
      <c r="BS227" s="23">
        <v>115</v>
      </c>
      <c r="BT227" s="26">
        <v>0</v>
      </c>
      <c r="BU227" s="23">
        <v>12</v>
      </c>
      <c r="BV227" s="24">
        <v>1121</v>
      </c>
      <c r="BW227" s="23">
        <v>243</v>
      </c>
      <c r="BX227" s="24">
        <v>1100</v>
      </c>
      <c r="BY227" s="23">
        <v>234</v>
      </c>
      <c r="BZ227" s="24">
        <v>21</v>
      </c>
      <c r="CA227" s="23">
        <v>28</v>
      </c>
      <c r="CB227" s="24">
        <v>301</v>
      </c>
      <c r="CC227" s="23">
        <v>124</v>
      </c>
      <c r="CD227" s="24">
        <v>301</v>
      </c>
      <c r="CE227" s="23">
        <v>124</v>
      </c>
      <c r="CF227" s="24">
        <v>0</v>
      </c>
      <c r="CG227" s="20">
        <v>12</v>
      </c>
    </row>
    <row r="228" spans="1:85" x14ac:dyDescent="0.3">
      <c r="A228" t="s">
        <v>455</v>
      </c>
      <c r="B228">
        <v>21156</v>
      </c>
      <c r="C228" t="s">
        <v>456</v>
      </c>
      <c r="D228" s="19">
        <v>315</v>
      </c>
      <c r="E228" s="20">
        <v>145</v>
      </c>
      <c r="F228" s="19">
        <v>31</v>
      </c>
      <c r="G228" s="23">
        <v>45</v>
      </c>
      <c r="H228" s="24">
        <v>0</v>
      </c>
      <c r="I228" s="23">
        <v>24</v>
      </c>
      <c r="J228" s="24">
        <v>0</v>
      </c>
      <c r="K228" s="23">
        <v>24</v>
      </c>
      <c r="L228" s="24">
        <v>0</v>
      </c>
      <c r="M228" s="23">
        <v>24</v>
      </c>
      <c r="N228" s="24">
        <v>8</v>
      </c>
      <c r="O228" s="23">
        <v>24</v>
      </c>
      <c r="P228" s="24">
        <v>8</v>
      </c>
      <c r="Q228" s="23">
        <v>24</v>
      </c>
      <c r="R228" s="24">
        <v>0</v>
      </c>
      <c r="S228" s="23">
        <v>24</v>
      </c>
      <c r="T228" s="24">
        <v>23</v>
      </c>
      <c r="U228" s="23">
        <v>45</v>
      </c>
      <c r="V228" s="24">
        <v>23</v>
      </c>
      <c r="W228" s="23">
        <v>45</v>
      </c>
      <c r="X228" s="24">
        <v>0</v>
      </c>
      <c r="Y228" s="20">
        <v>24</v>
      </c>
      <c r="Z228" s="19">
        <v>0</v>
      </c>
      <c r="AA228" s="23">
        <v>12</v>
      </c>
      <c r="AB228" s="24">
        <v>0</v>
      </c>
      <c r="AC228" s="23">
        <v>12</v>
      </c>
      <c r="AD228" s="24">
        <v>0</v>
      </c>
      <c r="AE228" s="23">
        <v>12</v>
      </c>
      <c r="AF228" s="24">
        <v>0</v>
      </c>
      <c r="AG228" s="23">
        <v>12</v>
      </c>
      <c r="AH228" s="24">
        <v>0</v>
      </c>
      <c r="AI228" s="23">
        <v>12</v>
      </c>
      <c r="AJ228" s="24">
        <v>0</v>
      </c>
      <c r="AK228" s="23">
        <v>12</v>
      </c>
      <c r="AL228" s="24">
        <v>0</v>
      </c>
      <c r="AM228" s="23">
        <v>12</v>
      </c>
      <c r="AN228" s="24">
        <v>0</v>
      </c>
      <c r="AO228" s="23">
        <v>12</v>
      </c>
      <c r="AP228" s="24">
        <v>0</v>
      </c>
      <c r="AQ228" s="23">
        <v>12</v>
      </c>
      <c r="AR228" s="24">
        <v>0</v>
      </c>
      <c r="AS228" s="20">
        <v>12</v>
      </c>
      <c r="AT228" s="19">
        <v>25</v>
      </c>
      <c r="AU228" s="23">
        <v>25</v>
      </c>
      <c r="AV228" s="24">
        <v>0</v>
      </c>
      <c r="AW228" s="23">
        <v>12</v>
      </c>
      <c r="AX228" s="24">
        <v>0</v>
      </c>
      <c r="AY228" s="23">
        <v>12</v>
      </c>
      <c r="AZ228" s="24">
        <v>0</v>
      </c>
      <c r="BA228" s="23">
        <v>12</v>
      </c>
      <c r="BB228" s="24">
        <v>6</v>
      </c>
      <c r="BC228" s="23">
        <v>11</v>
      </c>
      <c r="BD228" s="24">
        <v>6</v>
      </c>
      <c r="BE228" s="23">
        <v>11</v>
      </c>
      <c r="BF228" s="24">
        <v>0</v>
      </c>
      <c r="BG228" s="23">
        <v>12</v>
      </c>
      <c r="BH228" s="24">
        <v>19</v>
      </c>
      <c r="BI228" s="23">
        <v>21</v>
      </c>
      <c r="BJ228" s="24">
        <v>19</v>
      </c>
      <c r="BK228" s="23">
        <v>21</v>
      </c>
      <c r="BL228" s="24">
        <v>0</v>
      </c>
      <c r="BM228" s="20">
        <v>12</v>
      </c>
      <c r="BN228" s="19">
        <v>259</v>
      </c>
      <c r="BO228" s="23">
        <v>145</v>
      </c>
      <c r="BP228" s="24">
        <v>22</v>
      </c>
      <c r="BQ228" s="23">
        <v>26</v>
      </c>
      <c r="BR228" s="24">
        <v>22</v>
      </c>
      <c r="BS228" s="23">
        <v>26</v>
      </c>
      <c r="BT228" s="26">
        <v>0</v>
      </c>
      <c r="BU228" s="23">
        <v>12</v>
      </c>
      <c r="BV228" s="24">
        <v>169</v>
      </c>
      <c r="BW228" s="23">
        <v>114</v>
      </c>
      <c r="BX228" s="24">
        <v>169</v>
      </c>
      <c r="BY228" s="23">
        <v>114</v>
      </c>
      <c r="BZ228" s="24">
        <v>0</v>
      </c>
      <c r="CA228" s="23">
        <v>12</v>
      </c>
      <c r="CB228" s="24">
        <v>68</v>
      </c>
      <c r="CC228" s="23">
        <v>49</v>
      </c>
      <c r="CD228" s="24">
        <v>68</v>
      </c>
      <c r="CE228" s="23">
        <v>49</v>
      </c>
      <c r="CF228" s="24">
        <v>0</v>
      </c>
      <c r="CG228" s="20">
        <v>12</v>
      </c>
    </row>
    <row r="229" spans="1:85" x14ac:dyDescent="0.3">
      <c r="A229" t="s">
        <v>457</v>
      </c>
      <c r="B229">
        <v>21157</v>
      </c>
      <c r="C229" t="s">
        <v>458</v>
      </c>
      <c r="D229" s="19">
        <v>35361</v>
      </c>
      <c r="E229" s="20">
        <v>1176</v>
      </c>
      <c r="F229" s="19">
        <v>3761</v>
      </c>
      <c r="G229" s="23">
        <v>953</v>
      </c>
      <c r="H229" s="24">
        <v>991</v>
      </c>
      <c r="I229" s="23">
        <v>424</v>
      </c>
      <c r="J229" s="24">
        <v>957</v>
      </c>
      <c r="K229" s="23">
        <v>418</v>
      </c>
      <c r="L229" s="24">
        <v>34</v>
      </c>
      <c r="M229" s="23">
        <v>41</v>
      </c>
      <c r="N229" s="24">
        <v>2194</v>
      </c>
      <c r="O229" s="23">
        <v>625</v>
      </c>
      <c r="P229" s="24">
        <v>1780</v>
      </c>
      <c r="Q229" s="23">
        <v>602</v>
      </c>
      <c r="R229" s="24">
        <v>414</v>
      </c>
      <c r="S229" s="23">
        <v>232</v>
      </c>
      <c r="T229" s="24">
        <v>576</v>
      </c>
      <c r="U229" s="23">
        <v>199</v>
      </c>
      <c r="V229" s="24">
        <v>574</v>
      </c>
      <c r="W229" s="23">
        <v>200</v>
      </c>
      <c r="X229" s="24">
        <v>2</v>
      </c>
      <c r="Y229" s="20">
        <v>29</v>
      </c>
      <c r="Z229" s="19">
        <v>2834</v>
      </c>
      <c r="AA229" s="23">
        <v>536</v>
      </c>
      <c r="AB229" s="24">
        <v>667</v>
      </c>
      <c r="AC229" s="23">
        <v>286</v>
      </c>
      <c r="AD229" s="24">
        <v>667</v>
      </c>
      <c r="AE229" s="23">
        <v>286</v>
      </c>
      <c r="AF229" s="24">
        <v>0</v>
      </c>
      <c r="AG229" s="23">
        <v>25</v>
      </c>
      <c r="AH229" s="24">
        <v>1301</v>
      </c>
      <c r="AI229" s="23">
        <v>293</v>
      </c>
      <c r="AJ229" s="24">
        <v>1090</v>
      </c>
      <c r="AK229" s="23">
        <v>256</v>
      </c>
      <c r="AL229" s="24">
        <v>211</v>
      </c>
      <c r="AM229" s="23">
        <v>120</v>
      </c>
      <c r="AN229" s="24">
        <v>866</v>
      </c>
      <c r="AO229" s="23">
        <v>221</v>
      </c>
      <c r="AP229" s="24">
        <v>866</v>
      </c>
      <c r="AQ229" s="23">
        <v>221</v>
      </c>
      <c r="AR229" s="24">
        <v>0</v>
      </c>
      <c r="AS229" s="20">
        <v>25</v>
      </c>
      <c r="AT229" s="19">
        <v>9574</v>
      </c>
      <c r="AU229" s="23">
        <v>1158</v>
      </c>
      <c r="AV229" s="24">
        <v>2578</v>
      </c>
      <c r="AW229" s="23">
        <v>429</v>
      </c>
      <c r="AX229" s="24">
        <v>2342</v>
      </c>
      <c r="AY229" s="23">
        <v>421</v>
      </c>
      <c r="AZ229" s="24">
        <v>236</v>
      </c>
      <c r="BA229" s="23">
        <v>156</v>
      </c>
      <c r="BB229" s="24">
        <v>5244</v>
      </c>
      <c r="BC229" s="23">
        <v>749</v>
      </c>
      <c r="BD229" s="24">
        <v>4877</v>
      </c>
      <c r="BE229" s="23">
        <v>706</v>
      </c>
      <c r="BF229" s="24">
        <v>367</v>
      </c>
      <c r="BG229" s="23">
        <v>150</v>
      </c>
      <c r="BH229" s="24">
        <v>1752</v>
      </c>
      <c r="BI229" s="23">
        <v>298</v>
      </c>
      <c r="BJ229" s="24">
        <v>1738</v>
      </c>
      <c r="BK229" s="23">
        <v>302</v>
      </c>
      <c r="BL229" s="24">
        <v>14</v>
      </c>
      <c r="BM229" s="20">
        <v>22</v>
      </c>
      <c r="BN229" s="19">
        <v>19192</v>
      </c>
      <c r="BO229" s="23">
        <v>1179</v>
      </c>
      <c r="BP229" s="24">
        <v>3857</v>
      </c>
      <c r="BQ229" s="23">
        <v>513</v>
      </c>
      <c r="BR229" s="24">
        <v>3789</v>
      </c>
      <c r="BS229" s="23">
        <v>514</v>
      </c>
      <c r="BT229" s="26">
        <v>68</v>
      </c>
      <c r="BU229" s="23">
        <v>54</v>
      </c>
      <c r="BV229" s="24">
        <v>12561</v>
      </c>
      <c r="BW229" s="23">
        <v>742</v>
      </c>
      <c r="BX229" s="24">
        <v>12364</v>
      </c>
      <c r="BY229" s="23">
        <v>725</v>
      </c>
      <c r="BZ229" s="24">
        <v>197</v>
      </c>
      <c r="CA229" s="23">
        <v>96</v>
      </c>
      <c r="CB229" s="24">
        <v>2774</v>
      </c>
      <c r="CC229" s="23">
        <v>322</v>
      </c>
      <c r="CD229" s="24">
        <v>2774</v>
      </c>
      <c r="CE229" s="23">
        <v>322</v>
      </c>
      <c r="CF229" s="24">
        <v>0</v>
      </c>
      <c r="CG229" s="20">
        <v>25</v>
      </c>
    </row>
    <row r="230" spans="1:85" x14ac:dyDescent="0.3">
      <c r="A230" t="s">
        <v>459</v>
      </c>
      <c r="B230">
        <v>21158</v>
      </c>
      <c r="C230" t="s">
        <v>460</v>
      </c>
      <c r="D230" s="19">
        <v>20407</v>
      </c>
      <c r="E230" s="20">
        <v>971</v>
      </c>
      <c r="F230" s="19">
        <v>1668</v>
      </c>
      <c r="G230" s="23">
        <v>626</v>
      </c>
      <c r="H230" s="24">
        <v>581</v>
      </c>
      <c r="I230" s="23">
        <v>319</v>
      </c>
      <c r="J230" s="24">
        <v>555</v>
      </c>
      <c r="K230" s="23">
        <v>310</v>
      </c>
      <c r="L230" s="24">
        <v>26</v>
      </c>
      <c r="M230" s="23">
        <v>62</v>
      </c>
      <c r="N230" s="24">
        <v>696</v>
      </c>
      <c r="O230" s="23">
        <v>315</v>
      </c>
      <c r="P230" s="24">
        <v>642</v>
      </c>
      <c r="Q230" s="23">
        <v>276</v>
      </c>
      <c r="R230" s="24">
        <v>54</v>
      </c>
      <c r="S230" s="23">
        <v>66</v>
      </c>
      <c r="T230" s="24">
        <v>391</v>
      </c>
      <c r="U230" s="23">
        <v>181</v>
      </c>
      <c r="V230" s="24">
        <v>350</v>
      </c>
      <c r="W230" s="23">
        <v>167</v>
      </c>
      <c r="X230" s="24">
        <v>41</v>
      </c>
      <c r="Y230" s="20">
        <v>58</v>
      </c>
      <c r="Z230" s="19">
        <v>1189</v>
      </c>
      <c r="AA230" s="23">
        <v>451</v>
      </c>
      <c r="AB230" s="24">
        <v>347</v>
      </c>
      <c r="AC230" s="23">
        <v>208</v>
      </c>
      <c r="AD230" s="24">
        <v>347</v>
      </c>
      <c r="AE230" s="23">
        <v>208</v>
      </c>
      <c r="AF230" s="24">
        <v>0</v>
      </c>
      <c r="AG230" s="23">
        <v>22</v>
      </c>
      <c r="AH230" s="24">
        <v>597</v>
      </c>
      <c r="AI230" s="23">
        <v>270</v>
      </c>
      <c r="AJ230" s="24">
        <v>447</v>
      </c>
      <c r="AK230" s="23">
        <v>225</v>
      </c>
      <c r="AL230" s="24">
        <v>150</v>
      </c>
      <c r="AM230" s="23">
        <v>147</v>
      </c>
      <c r="AN230" s="24">
        <v>245</v>
      </c>
      <c r="AO230" s="23">
        <v>97</v>
      </c>
      <c r="AP230" s="24">
        <v>245</v>
      </c>
      <c r="AQ230" s="23">
        <v>97</v>
      </c>
      <c r="AR230" s="24">
        <v>0</v>
      </c>
      <c r="AS230" s="20">
        <v>22</v>
      </c>
      <c r="AT230" s="19">
        <v>6079</v>
      </c>
      <c r="AU230" s="23">
        <v>801</v>
      </c>
      <c r="AV230" s="24">
        <v>1755</v>
      </c>
      <c r="AW230" s="23">
        <v>379</v>
      </c>
      <c r="AX230" s="24">
        <v>1721</v>
      </c>
      <c r="AY230" s="23">
        <v>375</v>
      </c>
      <c r="AZ230" s="24">
        <v>34</v>
      </c>
      <c r="BA230" s="23">
        <v>54</v>
      </c>
      <c r="BB230" s="24">
        <v>3291</v>
      </c>
      <c r="BC230" s="23">
        <v>515</v>
      </c>
      <c r="BD230" s="24">
        <v>3021</v>
      </c>
      <c r="BE230" s="23">
        <v>508</v>
      </c>
      <c r="BF230" s="24">
        <v>270</v>
      </c>
      <c r="BG230" s="23">
        <v>118</v>
      </c>
      <c r="BH230" s="24">
        <v>1033</v>
      </c>
      <c r="BI230" s="23">
        <v>222</v>
      </c>
      <c r="BJ230" s="24">
        <v>1033</v>
      </c>
      <c r="BK230" s="23">
        <v>222</v>
      </c>
      <c r="BL230" s="24">
        <v>0</v>
      </c>
      <c r="BM230" s="20">
        <v>22</v>
      </c>
      <c r="BN230" s="19">
        <v>11471</v>
      </c>
      <c r="BO230" s="23">
        <v>947</v>
      </c>
      <c r="BP230" s="24">
        <v>2402</v>
      </c>
      <c r="BQ230" s="23">
        <v>403</v>
      </c>
      <c r="BR230" s="24">
        <v>2387</v>
      </c>
      <c r="BS230" s="23">
        <v>403</v>
      </c>
      <c r="BT230" s="26">
        <v>15</v>
      </c>
      <c r="BU230" s="23">
        <v>25</v>
      </c>
      <c r="BV230" s="24">
        <v>7260</v>
      </c>
      <c r="BW230" s="23">
        <v>633</v>
      </c>
      <c r="BX230" s="24">
        <v>7055</v>
      </c>
      <c r="BY230" s="23">
        <v>606</v>
      </c>
      <c r="BZ230" s="24">
        <v>205</v>
      </c>
      <c r="CA230" s="23">
        <v>104</v>
      </c>
      <c r="CB230" s="24">
        <v>1809</v>
      </c>
      <c r="CC230" s="23">
        <v>265</v>
      </c>
      <c r="CD230" s="24">
        <v>1809</v>
      </c>
      <c r="CE230" s="23">
        <v>265</v>
      </c>
      <c r="CF230" s="24">
        <v>0</v>
      </c>
      <c r="CG230" s="20">
        <v>22</v>
      </c>
    </row>
    <row r="231" spans="1:85" x14ac:dyDescent="0.3">
      <c r="A231" t="s">
        <v>461</v>
      </c>
      <c r="B231">
        <v>21160</v>
      </c>
      <c r="C231" t="s">
        <v>462</v>
      </c>
      <c r="D231" s="19">
        <v>2839</v>
      </c>
      <c r="E231" s="20">
        <v>519</v>
      </c>
      <c r="F231" s="19">
        <v>712</v>
      </c>
      <c r="G231" s="23">
        <v>570</v>
      </c>
      <c r="H231" s="24">
        <v>273</v>
      </c>
      <c r="I231" s="23">
        <v>299</v>
      </c>
      <c r="J231" s="24">
        <v>273</v>
      </c>
      <c r="K231" s="23">
        <v>299</v>
      </c>
      <c r="L231" s="24">
        <v>0</v>
      </c>
      <c r="M231" s="23">
        <v>24</v>
      </c>
      <c r="N231" s="24">
        <v>418</v>
      </c>
      <c r="O231" s="23">
        <v>285</v>
      </c>
      <c r="P231" s="24">
        <v>345</v>
      </c>
      <c r="Q231" s="23">
        <v>254</v>
      </c>
      <c r="R231" s="24">
        <v>73</v>
      </c>
      <c r="S231" s="23">
        <v>120</v>
      </c>
      <c r="T231" s="24">
        <v>21</v>
      </c>
      <c r="U231" s="23">
        <v>43</v>
      </c>
      <c r="V231" s="24">
        <v>21</v>
      </c>
      <c r="W231" s="23">
        <v>43</v>
      </c>
      <c r="X231" s="24">
        <v>0</v>
      </c>
      <c r="Y231" s="20">
        <v>24</v>
      </c>
      <c r="Z231" s="19">
        <v>49</v>
      </c>
      <c r="AA231" s="23">
        <v>75</v>
      </c>
      <c r="AB231" s="24">
        <v>0</v>
      </c>
      <c r="AC231" s="23">
        <v>12</v>
      </c>
      <c r="AD231" s="24">
        <v>0</v>
      </c>
      <c r="AE231" s="23">
        <v>12</v>
      </c>
      <c r="AF231" s="24">
        <v>0</v>
      </c>
      <c r="AG231" s="23">
        <v>12</v>
      </c>
      <c r="AH231" s="24">
        <v>49</v>
      </c>
      <c r="AI231" s="23">
        <v>75</v>
      </c>
      <c r="AJ231" s="24">
        <v>49</v>
      </c>
      <c r="AK231" s="23">
        <v>75</v>
      </c>
      <c r="AL231" s="24">
        <v>0</v>
      </c>
      <c r="AM231" s="23">
        <v>12</v>
      </c>
      <c r="AN231" s="24">
        <v>0</v>
      </c>
      <c r="AO231" s="23">
        <v>12</v>
      </c>
      <c r="AP231" s="24">
        <v>0</v>
      </c>
      <c r="AQ231" s="23">
        <v>12</v>
      </c>
      <c r="AR231" s="24">
        <v>0</v>
      </c>
      <c r="AS231" s="20">
        <v>12</v>
      </c>
      <c r="AT231" s="19">
        <v>717</v>
      </c>
      <c r="AU231" s="23">
        <v>305</v>
      </c>
      <c r="AV231" s="24">
        <v>187</v>
      </c>
      <c r="AW231" s="23">
        <v>123</v>
      </c>
      <c r="AX231" s="24">
        <v>187</v>
      </c>
      <c r="AY231" s="23">
        <v>123</v>
      </c>
      <c r="AZ231" s="24">
        <v>0</v>
      </c>
      <c r="BA231" s="23">
        <v>12</v>
      </c>
      <c r="BB231" s="24">
        <v>424</v>
      </c>
      <c r="BC231" s="23">
        <v>179</v>
      </c>
      <c r="BD231" s="24">
        <v>361</v>
      </c>
      <c r="BE231" s="23">
        <v>169</v>
      </c>
      <c r="BF231" s="24">
        <v>63</v>
      </c>
      <c r="BG231" s="23">
        <v>74</v>
      </c>
      <c r="BH231" s="24">
        <v>106</v>
      </c>
      <c r="BI231" s="23">
        <v>93</v>
      </c>
      <c r="BJ231" s="24">
        <v>106</v>
      </c>
      <c r="BK231" s="23">
        <v>93</v>
      </c>
      <c r="BL231" s="24">
        <v>0</v>
      </c>
      <c r="BM231" s="20">
        <v>12</v>
      </c>
      <c r="BN231" s="19">
        <v>1361</v>
      </c>
      <c r="BO231" s="23">
        <v>393</v>
      </c>
      <c r="BP231" s="24">
        <v>168</v>
      </c>
      <c r="BQ231" s="23">
        <v>109</v>
      </c>
      <c r="BR231" s="24">
        <v>168</v>
      </c>
      <c r="BS231" s="23">
        <v>109</v>
      </c>
      <c r="BT231" s="26">
        <v>0</v>
      </c>
      <c r="BU231" s="23">
        <v>12</v>
      </c>
      <c r="BV231" s="24">
        <v>993</v>
      </c>
      <c r="BW231" s="23">
        <v>324</v>
      </c>
      <c r="BX231" s="24">
        <v>993</v>
      </c>
      <c r="BY231" s="23">
        <v>324</v>
      </c>
      <c r="BZ231" s="24">
        <v>0</v>
      </c>
      <c r="CA231" s="23">
        <v>12</v>
      </c>
      <c r="CB231" s="24">
        <v>200</v>
      </c>
      <c r="CC231" s="23">
        <v>142</v>
      </c>
      <c r="CD231" s="24">
        <v>200</v>
      </c>
      <c r="CE231" s="23">
        <v>142</v>
      </c>
      <c r="CF231" s="24">
        <v>0</v>
      </c>
      <c r="CG231" s="20">
        <v>12</v>
      </c>
    </row>
    <row r="232" spans="1:85" x14ac:dyDescent="0.3">
      <c r="A232" t="s">
        <v>463</v>
      </c>
      <c r="B232">
        <v>21161</v>
      </c>
      <c r="C232" t="s">
        <v>464</v>
      </c>
      <c r="D232" s="19">
        <v>5524</v>
      </c>
      <c r="E232" s="20">
        <v>538</v>
      </c>
      <c r="F232" s="19">
        <v>296</v>
      </c>
      <c r="G232" s="23">
        <v>251</v>
      </c>
      <c r="H232" s="24">
        <v>94</v>
      </c>
      <c r="I232" s="23">
        <v>105</v>
      </c>
      <c r="J232" s="24">
        <v>94</v>
      </c>
      <c r="K232" s="23">
        <v>105</v>
      </c>
      <c r="L232" s="24">
        <v>0</v>
      </c>
      <c r="M232" s="23">
        <v>34</v>
      </c>
      <c r="N232" s="24">
        <v>196</v>
      </c>
      <c r="O232" s="23">
        <v>156</v>
      </c>
      <c r="P232" s="24">
        <v>162</v>
      </c>
      <c r="Q232" s="23">
        <v>148</v>
      </c>
      <c r="R232" s="24">
        <v>34</v>
      </c>
      <c r="S232" s="23">
        <v>41</v>
      </c>
      <c r="T232" s="24">
        <v>6</v>
      </c>
      <c r="U232" s="23">
        <v>28</v>
      </c>
      <c r="V232" s="24">
        <v>6</v>
      </c>
      <c r="W232" s="23">
        <v>28</v>
      </c>
      <c r="X232" s="24">
        <v>0</v>
      </c>
      <c r="Y232" s="20">
        <v>34</v>
      </c>
      <c r="Z232" s="19">
        <v>263</v>
      </c>
      <c r="AA232" s="23">
        <v>118</v>
      </c>
      <c r="AB232" s="24">
        <v>50</v>
      </c>
      <c r="AC232" s="23">
        <v>55</v>
      </c>
      <c r="AD232" s="24">
        <v>50</v>
      </c>
      <c r="AE232" s="23">
        <v>55</v>
      </c>
      <c r="AF232" s="24">
        <v>0</v>
      </c>
      <c r="AG232" s="23">
        <v>17</v>
      </c>
      <c r="AH232" s="24">
        <v>91</v>
      </c>
      <c r="AI232" s="23">
        <v>57</v>
      </c>
      <c r="AJ232" s="24">
        <v>83</v>
      </c>
      <c r="AK232" s="23">
        <v>57</v>
      </c>
      <c r="AL232" s="24">
        <v>8</v>
      </c>
      <c r="AM232" s="23">
        <v>12</v>
      </c>
      <c r="AN232" s="24">
        <v>122</v>
      </c>
      <c r="AO232" s="23">
        <v>74</v>
      </c>
      <c r="AP232" s="24">
        <v>122</v>
      </c>
      <c r="AQ232" s="23">
        <v>74</v>
      </c>
      <c r="AR232" s="24">
        <v>0</v>
      </c>
      <c r="AS232" s="20">
        <v>17</v>
      </c>
      <c r="AT232" s="19">
        <v>1303</v>
      </c>
      <c r="AU232" s="23">
        <v>318</v>
      </c>
      <c r="AV232" s="24">
        <v>249</v>
      </c>
      <c r="AW232" s="23">
        <v>103</v>
      </c>
      <c r="AX232" s="24">
        <v>249</v>
      </c>
      <c r="AY232" s="23">
        <v>103</v>
      </c>
      <c r="AZ232" s="24">
        <v>0</v>
      </c>
      <c r="BA232" s="23">
        <v>17</v>
      </c>
      <c r="BB232" s="24">
        <v>718</v>
      </c>
      <c r="BC232" s="23">
        <v>203</v>
      </c>
      <c r="BD232" s="24">
        <v>681</v>
      </c>
      <c r="BE232" s="23">
        <v>182</v>
      </c>
      <c r="BF232" s="24">
        <v>37</v>
      </c>
      <c r="BG232" s="23">
        <v>44</v>
      </c>
      <c r="BH232" s="24">
        <v>336</v>
      </c>
      <c r="BI232" s="23">
        <v>152</v>
      </c>
      <c r="BJ232" s="24">
        <v>336</v>
      </c>
      <c r="BK232" s="23">
        <v>152</v>
      </c>
      <c r="BL232" s="24">
        <v>0</v>
      </c>
      <c r="BM232" s="20">
        <v>17</v>
      </c>
      <c r="BN232" s="19">
        <v>3662</v>
      </c>
      <c r="BO232" s="23">
        <v>497</v>
      </c>
      <c r="BP232" s="24">
        <v>686</v>
      </c>
      <c r="BQ232" s="23">
        <v>178</v>
      </c>
      <c r="BR232" s="24">
        <v>686</v>
      </c>
      <c r="BS232" s="23">
        <v>178</v>
      </c>
      <c r="BT232" s="26">
        <v>0</v>
      </c>
      <c r="BU232" s="23">
        <v>17</v>
      </c>
      <c r="BV232" s="24">
        <v>2436</v>
      </c>
      <c r="BW232" s="23">
        <v>368</v>
      </c>
      <c r="BX232" s="24">
        <v>2419</v>
      </c>
      <c r="BY232" s="23">
        <v>365</v>
      </c>
      <c r="BZ232" s="24">
        <v>17</v>
      </c>
      <c r="CA232" s="23">
        <v>20</v>
      </c>
      <c r="CB232" s="24">
        <v>540</v>
      </c>
      <c r="CC232" s="23">
        <v>133</v>
      </c>
      <c r="CD232" s="24">
        <v>540</v>
      </c>
      <c r="CE232" s="23">
        <v>133</v>
      </c>
      <c r="CF232" s="24">
        <v>0</v>
      </c>
      <c r="CG232" s="20">
        <v>17</v>
      </c>
    </row>
    <row r="233" spans="1:85" x14ac:dyDescent="0.3">
      <c r="A233" t="s">
        <v>465</v>
      </c>
      <c r="B233">
        <v>21162</v>
      </c>
      <c r="C233" t="s">
        <v>466</v>
      </c>
      <c r="D233" s="19">
        <v>4057</v>
      </c>
      <c r="E233" s="20">
        <v>555</v>
      </c>
      <c r="F233" s="19">
        <v>359</v>
      </c>
      <c r="G233" s="23">
        <v>226</v>
      </c>
      <c r="H233" s="24">
        <v>58</v>
      </c>
      <c r="I233" s="23">
        <v>78</v>
      </c>
      <c r="J233" s="24">
        <v>58</v>
      </c>
      <c r="K233" s="23">
        <v>78</v>
      </c>
      <c r="L233" s="24">
        <v>0</v>
      </c>
      <c r="M233" s="23">
        <v>24</v>
      </c>
      <c r="N233" s="24">
        <v>232</v>
      </c>
      <c r="O233" s="23">
        <v>156</v>
      </c>
      <c r="P233" s="24">
        <v>171</v>
      </c>
      <c r="Q233" s="23">
        <v>118</v>
      </c>
      <c r="R233" s="24">
        <v>61</v>
      </c>
      <c r="S233" s="23">
        <v>74</v>
      </c>
      <c r="T233" s="24">
        <v>69</v>
      </c>
      <c r="U233" s="23">
        <v>64</v>
      </c>
      <c r="V233" s="24">
        <v>69</v>
      </c>
      <c r="W233" s="23">
        <v>64</v>
      </c>
      <c r="X233" s="24">
        <v>0</v>
      </c>
      <c r="Y233" s="20">
        <v>24</v>
      </c>
      <c r="Z233" s="19">
        <v>145</v>
      </c>
      <c r="AA233" s="23">
        <v>92</v>
      </c>
      <c r="AB233" s="24">
        <v>23</v>
      </c>
      <c r="AC233" s="23">
        <v>30</v>
      </c>
      <c r="AD233" s="24">
        <v>23</v>
      </c>
      <c r="AE233" s="23">
        <v>30</v>
      </c>
      <c r="AF233" s="24">
        <v>0</v>
      </c>
      <c r="AG233" s="23">
        <v>12</v>
      </c>
      <c r="AH233" s="24">
        <v>101</v>
      </c>
      <c r="AI233" s="23">
        <v>69</v>
      </c>
      <c r="AJ233" s="24">
        <v>70</v>
      </c>
      <c r="AK233" s="23">
        <v>56</v>
      </c>
      <c r="AL233" s="24">
        <v>31</v>
      </c>
      <c r="AM233" s="23">
        <v>43</v>
      </c>
      <c r="AN233" s="24">
        <v>21</v>
      </c>
      <c r="AO233" s="23">
        <v>22</v>
      </c>
      <c r="AP233" s="24">
        <v>21</v>
      </c>
      <c r="AQ233" s="23">
        <v>22</v>
      </c>
      <c r="AR233" s="24">
        <v>0</v>
      </c>
      <c r="AS233" s="20">
        <v>12</v>
      </c>
      <c r="AT233" s="19">
        <v>900</v>
      </c>
      <c r="AU233" s="23">
        <v>387</v>
      </c>
      <c r="AV233" s="24">
        <v>243</v>
      </c>
      <c r="AW233" s="23">
        <v>141</v>
      </c>
      <c r="AX233" s="24">
        <v>235</v>
      </c>
      <c r="AY233" s="23">
        <v>137</v>
      </c>
      <c r="AZ233" s="24">
        <v>8</v>
      </c>
      <c r="BA233" s="23">
        <v>12</v>
      </c>
      <c r="BB233" s="24">
        <v>503</v>
      </c>
      <c r="BC233" s="23">
        <v>237</v>
      </c>
      <c r="BD233" s="24">
        <v>475</v>
      </c>
      <c r="BE233" s="23">
        <v>233</v>
      </c>
      <c r="BF233" s="24">
        <v>28</v>
      </c>
      <c r="BG233" s="23">
        <v>31</v>
      </c>
      <c r="BH233" s="24">
        <v>154</v>
      </c>
      <c r="BI233" s="23">
        <v>86</v>
      </c>
      <c r="BJ233" s="24">
        <v>154</v>
      </c>
      <c r="BK233" s="23">
        <v>86</v>
      </c>
      <c r="BL233" s="24">
        <v>0</v>
      </c>
      <c r="BM233" s="20">
        <v>12</v>
      </c>
      <c r="BN233" s="19">
        <v>2653</v>
      </c>
      <c r="BO233" s="23">
        <v>461</v>
      </c>
      <c r="BP233" s="24">
        <v>739</v>
      </c>
      <c r="BQ233" s="23">
        <v>157</v>
      </c>
      <c r="BR233" s="24">
        <v>739</v>
      </c>
      <c r="BS233" s="23">
        <v>157</v>
      </c>
      <c r="BT233" s="26">
        <v>0</v>
      </c>
      <c r="BU233" s="23">
        <v>12</v>
      </c>
      <c r="BV233" s="24">
        <v>1633</v>
      </c>
      <c r="BW233" s="23">
        <v>334</v>
      </c>
      <c r="BX233" s="24">
        <v>1552</v>
      </c>
      <c r="BY233" s="23">
        <v>318</v>
      </c>
      <c r="BZ233" s="24">
        <v>81</v>
      </c>
      <c r="CA233" s="23">
        <v>63</v>
      </c>
      <c r="CB233" s="24">
        <v>281</v>
      </c>
      <c r="CC233" s="23">
        <v>80</v>
      </c>
      <c r="CD233" s="24">
        <v>281</v>
      </c>
      <c r="CE233" s="23">
        <v>80</v>
      </c>
      <c r="CF233" s="24">
        <v>0</v>
      </c>
      <c r="CG233" s="20">
        <v>12</v>
      </c>
    </row>
    <row r="234" spans="1:85" x14ac:dyDescent="0.3">
      <c r="A234" t="s">
        <v>467</v>
      </c>
      <c r="B234">
        <v>21163</v>
      </c>
      <c r="C234" t="s">
        <v>468</v>
      </c>
      <c r="D234" s="19">
        <v>7137</v>
      </c>
      <c r="E234" s="20">
        <v>609</v>
      </c>
      <c r="F234" s="19">
        <v>682</v>
      </c>
      <c r="G234" s="23">
        <v>370</v>
      </c>
      <c r="H234" s="24">
        <v>63</v>
      </c>
      <c r="I234" s="23">
        <v>103</v>
      </c>
      <c r="J234" s="24">
        <v>45</v>
      </c>
      <c r="K234" s="23">
        <v>96</v>
      </c>
      <c r="L234" s="24">
        <v>18</v>
      </c>
      <c r="M234" s="23">
        <v>44</v>
      </c>
      <c r="N234" s="24">
        <v>472</v>
      </c>
      <c r="O234" s="23">
        <v>348</v>
      </c>
      <c r="P234" s="24">
        <v>304</v>
      </c>
      <c r="Q234" s="23">
        <v>232</v>
      </c>
      <c r="R234" s="24">
        <v>168</v>
      </c>
      <c r="S234" s="23">
        <v>151</v>
      </c>
      <c r="T234" s="24">
        <v>147</v>
      </c>
      <c r="U234" s="23">
        <v>125</v>
      </c>
      <c r="V234" s="24">
        <v>147</v>
      </c>
      <c r="W234" s="23">
        <v>125</v>
      </c>
      <c r="X234" s="24">
        <v>0</v>
      </c>
      <c r="Y234" s="20">
        <v>34</v>
      </c>
      <c r="Z234" s="19">
        <v>298</v>
      </c>
      <c r="AA234" s="23">
        <v>177</v>
      </c>
      <c r="AB234" s="24">
        <v>107</v>
      </c>
      <c r="AC234" s="23">
        <v>85</v>
      </c>
      <c r="AD234" s="24">
        <v>107</v>
      </c>
      <c r="AE234" s="23">
        <v>85</v>
      </c>
      <c r="AF234" s="24">
        <v>0</v>
      </c>
      <c r="AG234" s="23">
        <v>17</v>
      </c>
      <c r="AH234" s="24">
        <v>129</v>
      </c>
      <c r="AI234" s="23">
        <v>77</v>
      </c>
      <c r="AJ234" s="24">
        <v>129</v>
      </c>
      <c r="AK234" s="23">
        <v>77</v>
      </c>
      <c r="AL234" s="24">
        <v>0</v>
      </c>
      <c r="AM234" s="23">
        <v>17</v>
      </c>
      <c r="AN234" s="24">
        <v>62</v>
      </c>
      <c r="AO234" s="23">
        <v>59</v>
      </c>
      <c r="AP234" s="24">
        <v>62</v>
      </c>
      <c r="AQ234" s="23">
        <v>59</v>
      </c>
      <c r="AR234" s="24">
        <v>0</v>
      </c>
      <c r="AS234" s="20">
        <v>17</v>
      </c>
      <c r="AT234" s="19">
        <v>1228</v>
      </c>
      <c r="AU234" s="23">
        <v>334</v>
      </c>
      <c r="AV234" s="24">
        <v>279</v>
      </c>
      <c r="AW234" s="23">
        <v>121</v>
      </c>
      <c r="AX234" s="24">
        <v>241</v>
      </c>
      <c r="AY234" s="23">
        <v>113</v>
      </c>
      <c r="AZ234" s="24">
        <v>38</v>
      </c>
      <c r="BA234" s="23">
        <v>57</v>
      </c>
      <c r="BB234" s="24">
        <v>582</v>
      </c>
      <c r="BC234" s="23">
        <v>187</v>
      </c>
      <c r="BD234" s="24">
        <v>406</v>
      </c>
      <c r="BE234" s="23">
        <v>167</v>
      </c>
      <c r="BF234" s="24">
        <v>176</v>
      </c>
      <c r="BG234" s="23">
        <v>125</v>
      </c>
      <c r="BH234" s="24">
        <v>367</v>
      </c>
      <c r="BI234" s="23">
        <v>151</v>
      </c>
      <c r="BJ234" s="24">
        <v>367</v>
      </c>
      <c r="BK234" s="23">
        <v>151</v>
      </c>
      <c r="BL234" s="24">
        <v>0</v>
      </c>
      <c r="BM234" s="20">
        <v>17</v>
      </c>
      <c r="BN234" s="19">
        <v>4929</v>
      </c>
      <c r="BO234" s="23">
        <v>570</v>
      </c>
      <c r="BP234" s="24">
        <v>1190</v>
      </c>
      <c r="BQ234" s="23">
        <v>249</v>
      </c>
      <c r="BR234" s="24">
        <v>1176</v>
      </c>
      <c r="BS234" s="23">
        <v>241</v>
      </c>
      <c r="BT234" s="26">
        <v>14</v>
      </c>
      <c r="BU234" s="23">
        <v>36</v>
      </c>
      <c r="BV234" s="24">
        <v>3190</v>
      </c>
      <c r="BW234" s="23">
        <v>358</v>
      </c>
      <c r="BX234" s="24">
        <v>3146</v>
      </c>
      <c r="BY234" s="23">
        <v>357</v>
      </c>
      <c r="BZ234" s="24">
        <v>44</v>
      </c>
      <c r="CA234" s="23">
        <v>39</v>
      </c>
      <c r="CB234" s="24">
        <v>549</v>
      </c>
      <c r="CC234" s="23">
        <v>128</v>
      </c>
      <c r="CD234" s="24">
        <v>549</v>
      </c>
      <c r="CE234" s="23">
        <v>128</v>
      </c>
      <c r="CF234" s="24">
        <v>0</v>
      </c>
      <c r="CG234" s="20">
        <v>17</v>
      </c>
    </row>
    <row r="235" spans="1:85" x14ac:dyDescent="0.3">
      <c r="A235" t="s">
        <v>469</v>
      </c>
      <c r="B235">
        <v>21201</v>
      </c>
      <c r="C235" t="s">
        <v>470</v>
      </c>
      <c r="D235" s="19">
        <v>15947</v>
      </c>
      <c r="E235" s="20">
        <v>920</v>
      </c>
      <c r="F235" s="19">
        <v>6412</v>
      </c>
      <c r="G235" s="23">
        <v>1011</v>
      </c>
      <c r="H235" s="24">
        <v>1510</v>
      </c>
      <c r="I235" s="23">
        <v>544</v>
      </c>
      <c r="J235" s="24">
        <v>1510</v>
      </c>
      <c r="K235" s="23">
        <v>544</v>
      </c>
      <c r="L235" s="24">
        <v>0</v>
      </c>
      <c r="M235" s="23">
        <v>38</v>
      </c>
      <c r="N235" s="24">
        <v>4019</v>
      </c>
      <c r="O235" s="23">
        <v>598</v>
      </c>
      <c r="P235" s="24">
        <v>3653</v>
      </c>
      <c r="Q235" s="23">
        <v>563</v>
      </c>
      <c r="R235" s="24">
        <v>366</v>
      </c>
      <c r="S235" s="23">
        <v>183</v>
      </c>
      <c r="T235" s="24">
        <v>883</v>
      </c>
      <c r="U235" s="23">
        <v>268</v>
      </c>
      <c r="V235" s="24">
        <v>879</v>
      </c>
      <c r="W235" s="23">
        <v>268</v>
      </c>
      <c r="X235" s="24">
        <v>4</v>
      </c>
      <c r="Y235" s="20">
        <v>25</v>
      </c>
      <c r="Z235" s="19">
        <v>1985</v>
      </c>
      <c r="AA235" s="23">
        <v>450</v>
      </c>
      <c r="AB235" s="24">
        <v>409</v>
      </c>
      <c r="AC235" s="23">
        <v>159</v>
      </c>
      <c r="AD235" s="24">
        <v>399</v>
      </c>
      <c r="AE235" s="23">
        <v>157</v>
      </c>
      <c r="AF235" s="24">
        <v>10</v>
      </c>
      <c r="AG235" s="23">
        <v>12</v>
      </c>
      <c r="AH235" s="24">
        <v>1364</v>
      </c>
      <c r="AI235" s="23">
        <v>359</v>
      </c>
      <c r="AJ235" s="24">
        <v>1223</v>
      </c>
      <c r="AK235" s="23">
        <v>314</v>
      </c>
      <c r="AL235" s="24">
        <v>141</v>
      </c>
      <c r="AM235" s="23">
        <v>97</v>
      </c>
      <c r="AN235" s="24">
        <v>212</v>
      </c>
      <c r="AO235" s="23">
        <v>85</v>
      </c>
      <c r="AP235" s="24">
        <v>212</v>
      </c>
      <c r="AQ235" s="23">
        <v>85</v>
      </c>
      <c r="AR235" s="24">
        <v>0</v>
      </c>
      <c r="AS235" s="20">
        <v>19</v>
      </c>
      <c r="AT235" s="19">
        <v>3137</v>
      </c>
      <c r="AU235" s="23">
        <v>441</v>
      </c>
      <c r="AV235" s="24">
        <v>327</v>
      </c>
      <c r="AW235" s="23">
        <v>138</v>
      </c>
      <c r="AX235" s="24">
        <v>327</v>
      </c>
      <c r="AY235" s="23">
        <v>138</v>
      </c>
      <c r="AZ235" s="24">
        <v>0</v>
      </c>
      <c r="BA235" s="23">
        <v>19</v>
      </c>
      <c r="BB235" s="24">
        <v>2539</v>
      </c>
      <c r="BC235" s="23">
        <v>364</v>
      </c>
      <c r="BD235" s="24">
        <v>2394</v>
      </c>
      <c r="BE235" s="23">
        <v>342</v>
      </c>
      <c r="BF235" s="24">
        <v>145</v>
      </c>
      <c r="BG235" s="23">
        <v>84</v>
      </c>
      <c r="BH235" s="24">
        <v>271</v>
      </c>
      <c r="BI235" s="23">
        <v>126</v>
      </c>
      <c r="BJ235" s="24">
        <v>271</v>
      </c>
      <c r="BK235" s="23">
        <v>126</v>
      </c>
      <c r="BL235" s="24">
        <v>0</v>
      </c>
      <c r="BM235" s="20">
        <v>19</v>
      </c>
      <c r="BN235" s="19">
        <v>4413</v>
      </c>
      <c r="BO235" s="23">
        <v>567</v>
      </c>
      <c r="BP235" s="24">
        <v>236</v>
      </c>
      <c r="BQ235" s="23">
        <v>125</v>
      </c>
      <c r="BR235" s="24">
        <v>197</v>
      </c>
      <c r="BS235" s="23">
        <v>101</v>
      </c>
      <c r="BT235" s="26">
        <v>39</v>
      </c>
      <c r="BU235" s="23">
        <v>61</v>
      </c>
      <c r="BV235" s="24">
        <v>3887</v>
      </c>
      <c r="BW235" s="23">
        <v>499</v>
      </c>
      <c r="BX235" s="24">
        <v>3665</v>
      </c>
      <c r="BY235" s="23">
        <v>508</v>
      </c>
      <c r="BZ235" s="24">
        <v>222</v>
      </c>
      <c r="CA235" s="23">
        <v>146</v>
      </c>
      <c r="CB235" s="24">
        <v>290</v>
      </c>
      <c r="CC235" s="23">
        <v>109</v>
      </c>
      <c r="CD235" s="24">
        <v>290</v>
      </c>
      <c r="CE235" s="23">
        <v>109</v>
      </c>
      <c r="CF235" s="24">
        <v>0</v>
      </c>
      <c r="CG235" s="20">
        <v>19</v>
      </c>
    </row>
    <row r="236" spans="1:85" x14ac:dyDescent="0.3">
      <c r="A236" t="s">
        <v>471</v>
      </c>
      <c r="B236">
        <v>21202</v>
      </c>
      <c r="C236" t="s">
        <v>472</v>
      </c>
      <c r="D236" s="19">
        <v>16754</v>
      </c>
      <c r="E236" s="20">
        <v>890</v>
      </c>
      <c r="F236" s="19">
        <v>6054</v>
      </c>
      <c r="G236" s="23">
        <v>1020</v>
      </c>
      <c r="H236" s="24">
        <v>1295</v>
      </c>
      <c r="I236" s="23">
        <v>507</v>
      </c>
      <c r="J236" s="24">
        <v>1289</v>
      </c>
      <c r="K236" s="23">
        <v>506</v>
      </c>
      <c r="L236" s="24">
        <v>6</v>
      </c>
      <c r="M236" s="23">
        <v>33</v>
      </c>
      <c r="N236" s="24">
        <v>4162</v>
      </c>
      <c r="O236" s="23">
        <v>690</v>
      </c>
      <c r="P236" s="24">
        <v>3597</v>
      </c>
      <c r="Q236" s="23">
        <v>647</v>
      </c>
      <c r="R236" s="24">
        <v>565</v>
      </c>
      <c r="S236" s="23">
        <v>235</v>
      </c>
      <c r="T236" s="24">
        <v>597</v>
      </c>
      <c r="U236" s="23">
        <v>193</v>
      </c>
      <c r="V236" s="24">
        <v>588</v>
      </c>
      <c r="W236" s="23">
        <v>189</v>
      </c>
      <c r="X236" s="24">
        <v>9</v>
      </c>
      <c r="Y236" s="20">
        <v>43</v>
      </c>
      <c r="Z236" s="19">
        <v>1985</v>
      </c>
      <c r="AA236" s="23">
        <v>359</v>
      </c>
      <c r="AB236" s="24">
        <v>485</v>
      </c>
      <c r="AC236" s="23">
        <v>251</v>
      </c>
      <c r="AD236" s="24">
        <v>461</v>
      </c>
      <c r="AE236" s="23">
        <v>246</v>
      </c>
      <c r="AF236" s="24">
        <v>24</v>
      </c>
      <c r="AG236" s="23">
        <v>32</v>
      </c>
      <c r="AH236" s="24">
        <v>1149</v>
      </c>
      <c r="AI236" s="23">
        <v>218</v>
      </c>
      <c r="AJ236" s="24">
        <v>1003</v>
      </c>
      <c r="AK236" s="23">
        <v>197</v>
      </c>
      <c r="AL236" s="24">
        <v>146</v>
      </c>
      <c r="AM236" s="23">
        <v>91</v>
      </c>
      <c r="AN236" s="24">
        <v>351</v>
      </c>
      <c r="AO236" s="23">
        <v>128</v>
      </c>
      <c r="AP236" s="24">
        <v>329</v>
      </c>
      <c r="AQ236" s="23">
        <v>122</v>
      </c>
      <c r="AR236" s="24">
        <v>22</v>
      </c>
      <c r="AS236" s="20">
        <v>33</v>
      </c>
      <c r="AT236" s="19">
        <v>3896</v>
      </c>
      <c r="AU236" s="23">
        <v>587</v>
      </c>
      <c r="AV236" s="24">
        <v>554</v>
      </c>
      <c r="AW236" s="23">
        <v>245</v>
      </c>
      <c r="AX236" s="24">
        <v>554</v>
      </c>
      <c r="AY236" s="23">
        <v>245</v>
      </c>
      <c r="AZ236" s="24">
        <v>0</v>
      </c>
      <c r="BA236" s="23">
        <v>22</v>
      </c>
      <c r="BB236" s="24">
        <v>3007</v>
      </c>
      <c r="BC236" s="23">
        <v>461</v>
      </c>
      <c r="BD236" s="24">
        <v>2731</v>
      </c>
      <c r="BE236" s="23">
        <v>445</v>
      </c>
      <c r="BF236" s="24">
        <v>276</v>
      </c>
      <c r="BG236" s="23">
        <v>137</v>
      </c>
      <c r="BH236" s="24">
        <v>335</v>
      </c>
      <c r="BI236" s="23">
        <v>90</v>
      </c>
      <c r="BJ236" s="24">
        <v>335</v>
      </c>
      <c r="BK236" s="23">
        <v>90</v>
      </c>
      <c r="BL236" s="24">
        <v>0</v>
      </c>
      <c r="BM236" s="20">
        <v>22</v>
      </c>
      <c r="BN236" s="19">
        <v>4819</v>
      </c>
      <c r="BO236" s="23">
        <v>516</v>
      </c>
      <c r="BP236" s="24">
        <v>220</v>
      </c>
      <c r="BQ236" s="23">
        <v>93</v>
      </c>
      <c r="BR236" s="24">
        <v>204</v>
      </c>
      <c r="BS236" s="23">
        <v>90</v>
      </c>
      <c r="BT236" s="26">
        <v>16</v>
      </c>
      <c r="BU236" s="23">
        <v>18</v>
      </c>
      <c r="BV236" s="24">
        <v>4102</v>
      </c>
      <c r="BW236" s="23">
        <v>465</v>
      </c>
      <c r="BX236" s="24">
        <v>4058</v>
      </c>
      <c r="BY236" s="23">
        <v>457</v>
      </c>
      <c r="BZ236" s="24">
        <v>44</v>
      </c>
      <c r="CA236" s="23">
        <v>40</v>
      </c>
      <c r="CB236" s="24">
        <v>497</v>
      </c>
      <c r="CC236" s="23">
        <v>177</v>
      </c>
      <c r="CD236" s="24">
        <v>497</v>
      </c>
      <c r="CE236" s="23">
        <v>177</v>
      </c>
      <c r="CF236" s="24">
        <v>0</v>
      </c>
      <c r="CG236" s="20">
        <v>22</v>
      </c>
    </row>
    <row r="237" spans="1:85" x14ac:dyDescent="0.3">
      <c r="A237" t="s">
        <v>473</v>
      </c>
      <c r="B237">
        <v>21204</v>
      </c>
      <c r="C237" t="s">
        <v>474</v>
      </c>
      <c r="D237" s="19">
        <v>17626</v>
      </c>
      <c r="E237" s="20">
        <v>671</v>
      </c>
      <c r="F237" s="19">
        <v>3123</v>
      </c>
      <c r="G237" s="23">
        <v>648</v>
      </c>
      <c r="H237" s="24">
        <v>394</v>
      </c>
      <c r="I237" s="23">
        <v>259</v>
      </c>
      <c r="J237" s="24">
        <v>382</v>
      </c>
      <c r="K237" s="23">
        <v>256</v>
      </c>
      <c r="L237" s="24">
        <v>12</v>
      </c>
      <c r="M237" s="23">
        <v>40</v>
      </c>
      <c r="N237" s="24">
        <v>2575</v>
      </c>
      <c r="O237" s="23">
        <v>539</v>
      </c>
      <c r="P237" s="24">
        <v>2374</v>
      </c>
      <c r="Q237" s="23">
        <v>525</v>
      </c>
      <c r="R237" s="24">
        <v>201</v>
      </c>
      <c r="S237" s="23">
        <v>121</v>
      </c>
      <c r="T237" s="24">
        <v>154</v>
      </c>
      <c r="U237" s="23">
        <v>86</v>
      </c>
      <c r="V237" s="24">
        <v>154</v>
      </c>
      <c r="W237" s="23">
        <v>86</v>
      </c>
      <c r="X237" s="24">
        <v>0</v>
      </c>
      <c r="Y237" s="20">
        <v>44</v>
      </c>
      <c r="Z237" s="19">
        <v>861</v>
      </c>
      <c r="AA237" s="23">
        <v>235</v>
      </c>
      <c r="AB237" s="24">
        <v>115</v>
      </c>
      <c r="AC237" s="23">
        <v>90</v>
      </c>
      <c r="AD237" s="24">
        <v>61</v>
      </c>
      <c r="AE237" s="23">
        <v>34</v>
      </c>
      <c r="AF237" s="24">
        <v>54</v>
      </c>
      <c r="AG237" s="23">
        <v>81</v>
      </c>
      <c r="AH237" s="24">
        <v>486</v>
      </c>
      <c r="AI237" s="23">
        <v>141</v>
      </c>
      <c r="AJ237" s="24">
        <v>370</v>
      </c>
      <c r="AK237" s="23">
        <v>107</v>
      </c>
      <c r="AL237" s="24">
        <v>116</v>
      </c>
      <c r="AM237" s="23">
        <v>92</v>
      </c>
      <c r="AN237" s="24">
        <v>260</v>
      </c>
      <c r="AO237" s="23">
        <v>96</v>
      </c>
      <c r="AP237" s="24">
        <v>260</v>
      </c>
      <c r="AQ237" s="23">
        <v>96</v>
      </c>
      <c r="AR237" s="24">
        <v>0</v>
      </c>
      <c r="AS237" s="20">
        <v>22</v>
      </c>
      <c r="AT237" s="19">
        <v>3092</v>
      </c>
      <c r="AU237" s="23">
        <v>614</v>
      </c>
      <c r="AV237" s="24">
        <v>454</v>
      </c>
      <c r="AW237" s="23">
        <v>218</v>
      </c>
      <c r="AX237" s="24">
        <v>446</v>
      </c>
      <c r="AY237" s="23">
        <v>215</v>
      </c>
      <c r="AZ237" s="24">
        <v>8</v>
      </c>
      <c r="BA237" s="23">
        <v>12</v>
      </c>
      <c r="BB237" s="24">
        <v>1941</v>
      </c>
      <c r="BC237" s="23">
        <v>421</v>
      </c>
      <c r="BD237" s="24">
        <v>1866</v>
      </c>
      <c r="BE237" s="23">
        <v>430</v>
      </c>
      <c r="BF237" s="24">
        <v>75</v>
      </c>
      <c r="BG237" s="23">
        <v>50</v>
      </c>
      <c r="BH237" s="24">
        <v>697</v>
      </c>
      <c r="BI237" s="23">
        <v>161</v>
      </c>
      <c r="BJ237" s="24">
        <v>697</v>
      </c>
      <c r="BK237" s="23">
        <v>161</v>
      </c>
      <c r="BL237" s="24">
        <v>0</v>
      </c>
      <c r="BM237" s="20">
        <v>22</v>
      </c>
      <c r="BN237" s="19">
        <v>10550</v>
      </c>
      <c r="BO237" s="23">
        <v>601</v>
      </c>
      <c r="BP237" s="24">
        <v>2273</v>
      </c>
      <c r="BQ237" s="23">
        <v>298</v>
      </c>
      <c r="BR237" s="24">
        <v>2252</v>
      </c>
      <c r="BS237" s="23">
        <v>298</v>
      </c>
      <c r="BT237" s="26">
        <v>21</v>
      </c>
      <c r="BU237" s="23">
        <v>23</v>
      </c>
      <c r="BV237" s="24">
        <v>6135</v>
      </c>
      <c r="BW237" s="23">
        <v>462</v>
      </c>
      <c r="BX237" s="24">
        <v>5906</v>
      </c>
      <c r="BY237" s="23">
        <v>424</v>
      </c>
      <c r="BZ237" s="24">
        <v>229</v>
      </c>
      <c r="CA237" s="23">
        <v>192</v>
      </c>
      <c r="CB237" s="24">
        <v>2142</v>
      </c>
      <c r="CC237" s="23">
        <v>225</v>
      </c>
      <c r="CD237" s="24">
        <v>2135</v>
      </c>
      <c r="CE237" s="23">
        <v>225</v>
      </c>
      <c r="CF237" s="24">
        <v>7</v>
      </c>
      <c r="CG237" s="20">
        <v>12</v>
      </c>
    </row>
    <row r="238" spans="1:85" x14ac:dyDescent="0.3">
      <c r="A238" t="s">
        <v>475</v>
      </c>
      <c r="B238">
        <v>21205</v>
      </c>
      <c r="C238" t="s">
        <v>476</v>
      </c>
      <c r="D238" s="19">
        <v>14602</v>
      </c>
      <c r="E238" s="20">
        <v>1257</v>
      </c>
      <c r="F238" s="19">
        <v>6915</v>
      </c>
      <c r="G238" s="23">
        <v>1331</v>
      </c>
      <c r="H238" s="24">
        <v>2757</v>
      </c>
      <c r="I238" s="23">
        <v>829</v>
      </c>
      <c r="J238" s="24">
        <v>2535</v>
      </c>
      <c r="K238" s="23">
        <v>812</v>
      </c>
      <c r="L238" s="24">
        <v>222</v>
      </c>
      <c r="M238" s="23">
        <v>146</v>
      </c>
      <c r="N238" s="24">
        <v>3409</v>
      </c>
      <c r="O238" s="23">
        <v>610</v>
      </c>
      <c r="P238" s="24">
        <v>2989</v>
      </c>
      <c r="Q238" s="23">
        <v>592</v>
      </c>
      <c r="R238" s="24">
        <v>420</v>
      </c>
      <c r="S238" s="23">
        <v>203</v>
      </c>
      <c r="T238" s="24">
        <v>749</v>
      </c>
      <c r="U238" s="23">
        <v>209</v>
      </c>
      <c r="V238" s="24">
        <v>749</v>
      </c>
      <c r="W238" s="23">
        <v>209</v>
      </c>
      <c r="X238" s="24">
        <v>0</v>
      </c>
      <c r="Y238" s="20">
        <v>38</v>
      </c>
      <c r="Z238" s="19">
        <v>2377</v>
      </c>
      <c r="AA238" s="23">
        <v>665</v>
      </c>
      <c r="AB238" s="24">
        <v>911</v>
      </c>
      <c r="AC238" s="23">
        <v>349</v>
      </c>
      <c r="AD238" s="24">
        <v>885</v>
      </c>
      <c r="AE238" s="23">
        <v>346</v>
      </c>
      <c r="AF238" s="24">
        <v>26</v>
      </c>
      <c r="AG238" s="23">
        <v>34</v>
      </c>
      <c r="AH238" s="24">
        <v>1264</v>
      </c>
      <c r="AI238" s="23">
        <v>377</v>
      </c>
      <c r="AJ238" s="24">
        <v>1001</v>
      </c>
      <c r="AK238" s="23">
        <v>266</v>
      </c>
      <c r="AL238" s="24">
        <v>263</v>
      </c>
      <c r="AM238" s="23">
        <v>171</v>
      </c>
      <c r="AN238" s="24">
        <v>202</v>
      </c>
      <c r="AO238" s="23">
        <v>63</v>
      </c>
      <c r="AP238" s="24">
        <v>202</v>
      </c>
      <c r="AQ238" s="23">
        <v>63</v>
      </c>
      <c r="AR238" s="24">
        <v>0</v>
      </c>
      <c r="AS238" s="20">
        <v>19</v>
      </c>
      <c r="AT238" s="19">
        <v>3662</v>
      </c>
      <c r="AU238" s="23">
        <v>524</v>
      </c>
      <c r="AV238" s="24">
        <v>698</v>
      </c>
      <c r="AW238" s="23">
        <v>204</v>
      </c>
      <c r="AX238" s="24">
        <v>651</v>
      </c>
      <c r="AY238" s="23">
        <v>204</v>
      </c>
      <c r="AZ238" s="24">
        <v>47</v>
      </c>
      <c r="BA238" s="23">
        <v>65</v>
      </c>
      <c r="BB238" s="24">
        <v>2622</v>
      </c>
      <c r="BC238" s="23">
        <v>379</v>
      </c>
      <c r="BD238" s="24">
        <v>2174</v>
      </c>
      <c r="BE238" s="23">
        <v>346</v>
      </c>
      <c r="BF238" s="24">
        <v>448</v>
      </c>
      <c r="BG238" s="23">
        <v>163</v>
      </c>
      <c r="BH238" s="24">
        <v>342</v>
      </c>
      <c r="BI238" s="23">
        <v>83</v>
      </c>
      <c r="BJ238" s="24">
        <v>342</v>
      </c>
      <c r="BK238" s="23">
        <v>83</v>
      </c>
      <c r="BL238" s="24">
        <v>0</v>
      </c>
      <c r="BM238" s="20">
        <v>19</v>
      </c>
      <c r="BN238" s="19">
        <v>1648</v>
      </c>
      <c r="BO238" s="23">
        <v>324</v>
      </c>
      <c r="BP238" s="24">
        <v>104</v>
      </c>
      <c r="BQ238" s="23">
        <v>66</v>
      </c>
      <c r="BR238" s="24">
        <v>99</v>
      </c>
      <c r="BS238" s="23">
        <v>67</v>
      </c>
      <c r="BT238" s="26">
        <v>5</v>
      </c>
      <c r="BU238" s="23">
        <v>14</v>
      </c>
      <c r="BV238" s="24">
        <v>1269</v>
      </c>
      <c r="BW238" s="23">
        <v>252</v>
      </c>
      <c r="BX238" s="24">
        <v>1006</v>
      </c>
      <c r="BY238" s="23">
        <v>209</v>
      </c>
      <c r="BZ238" s="24">
        <v>263</v>
      </c>
      <c r="CA238" s="23">
        <v>118</v>
      </c>
      <c r="CB238" s="24">
        <v>275</v>
      </c>
      <c r="CC238" s="23">
        <v>98</v>
      </c>
      <c r="CD238" s="24">
        <v>275</v>
      </c>
      <c r="CE238" s="23">
        <v>98</v>
      </c>
      <c r="CF238" s="24">
        <v>0</v>
      </c>
      <c r="CG238" s="20">
        <v>19</v>
      </c>
    </row>
    <row r="239" spans="1:85" x14ac:dyDescent="0.3">
      <c r="A239" t="s">
        <v>477</v>
      </c>
      <c r="B239">
        <v>21206</v>
      </c>
      <c r="C239" t="s">
        <v>478</v>
      </c>
      <c r="D239" s="19">
        <v>50527</v>
      </c>
      <c r="E239" s="20">
        <v>1863</v>
      </c>
      <c r="F239" s="19">
        <v>10315</v>
      </c>
      <c r="G239" s="23">
        <v>1991</v>
      </c>
      <c r="H239" s="24">
        <v>3341</v>
      </c>
      <c r="I239" s="23">
        <v>969</v>
      </c>
      <c r="J239" s="24">
        <v>3192</v>
      </c>
      <c r="K239" s="23">
        <v>973</v>
      </c>
      <c r="L239" s="24">
        <v>149</v>
      </c>
      <c r="M239" s="23">
        <v>215</v>
      </c>
      <c r="N239" s="24">
        <v>5984</v>
      </c>
      <c r="O239" s="23">
        <v>1147</v>
      </c>
      <c r="P239" s="24">
        <v>5002</v>
      </c>
      <c r="Q239" s="23">
        <v>1041</v>
      </c>
      <c r="R239" s="24">
        <v>982</v>
      </c>
      <c r="S239" s="23">
        <v>435</v>
      </c>
      <c r="T239" s="24">
        <v>990</v>
      </c>
      <c r="U239" s="23">
        <v>384</v>
      </c>
      <c r="V239" s="24">
        <v>902</v>
      </c>
      <c r="W239" s="23">
        <v>334</v>
      </c>
      <c r="X239" s="24">
        <v>88</v>
      </c>
      <c r="Y239" s="20">
        <v>167</v>
      </c>
      <c r="Z239" s="19">
        <v>7467</v>
      </c>
      <c r="AA239" s="23">
        <v>1284</v>
      </c>
      <c r="AB239" s="24">
        <v>2437</v>
      </c>
      <c r="AC239" s="23">
        <v>625</v>
      </c>
      <c r="AD239" s="24">
        <v>2361</v>
      </c>
      <c r="AE239" s="23">
        <v>615</v>
      </c>
      <c r="AF239" s="24">
        <v>76</v>
      </c>
      <c r="AG239" s="23">
        <v>60</v>
      </c>
      <c r="AH239" s="24">
        <v>4388</v>
      </c>
      <c r="AI239" s="23">
        <v>836</v>
      </c>
      <c r="AJ239" s="24">
        <v>3901</v>
      </c>
      <c r="AK239" s="23">
        <v>772</v>
      </c>
      <c r="AL239" s="24">
        <v>487</v>
      </c>
      <c r="AM239" s="23">
        <v>180</v>
      </c>
      <c r="AN239" s="24">
        <v>642</v>
      </c>
      <c r="AO239" s="23">
        <v>189</v>
      </c>
      <c r="AP239" s="24">
        <v>642</v>
      </c>
      <c r="AQ239" s="23">
        <v>189</v>
      </c>
      <c r="AR239" s="24">
        <v>0</v>
      </c>
      <c r="AS239" s="20">
        <v>28</v>
      </c>
      <c r="AT239" s="19">
        <v>16176</v>
      </c>
      <c r="AU239" s="23">
        <v>1609</v>
      </c>
      <c r="AV239" s="24">
        <v>3948</v>
      </c>
      <c r="AW239" s="23">
        <v>675</v>
      </c>
      <c r="AX239" s="24">
        <v>3914</v>
      </c>
      <c r="AY239" s="23">
        <v>675</v>
      </c>
      <c r="AZ239" s="24">
        <v>34</v>
      </c>
      <c r="BA239" s="23">
        <v>30</v>
      </c>
      <c r="BB239" s="24">
        <v>10519</v>
      </c>
      <c r="BC239" s="23">
        <v>1086</v>
      </c>
      <c r="BD239" s="24">
        <v>9836</v>
      </c>
      <c r="BE239" s="23">
        <v>995</v>
      </c>
      <c r="BF239" s="24">
        <v>683</v>
      </c>
      <c r="BG239" s="23">
        <v>221</v>
      </c>
      <c r="BH239" s="24">
        <v>1709</v>
      </c>
      <c r="BI239" s="23">
        <v>256</v>
      </c>
      <c r="BJ239" s="24">
        <v>1672</v>
      </c>
      <c r="BK239" s="23">
        <v>254</v>
      </c>
      <c r="BL239" s="24">
        <v>37</v>
      </c>
      <c r="BM239" s="20">
        <v>39</v>
      </c>
      <c r="BN239" s="19">
        <v>16569</v>
      </c>
      <c r="BO239" s="23">
        <v>1429</v>
      </c>
      <c r="BP239" s="24">
        <v>2774</v>
      </c>
      <c r="BQ239" s="23">
        <v>540</v>
      </c>
      <c r="BR239" s="24">
        <v>2675</v>
      </c>
      <c r="BS239" s="23">
        <v>545</v>
      </c>
      <c r="BT239" s="26">
        <v>99</v>
      </c>
      <c r="BU239" s="23">
        <v>105</v>
      </c>
      <c r="BV239" s="24">
        <v>12008</v>
      </c>
      <c r="BW239" s="23">
        <v>1008</v>
      </c>
      <c r="BX239" s="24">
        <v>11285</v>
      </c>
      <c r="BY239" s="23">
        <v>962</v>
      </c>
      <c r="BZ239" s="24">
        <v>723</v>
      </c>
      <c r="CA239" s="23">
        <v>235</v>
      </c>
      <c r="CB239" s="24">
        <v>1787</v>
      </c>
      <c r="CC239" s="23">
        <v>340</v>
      </c>
      <c r="CD239" s="24">
        <v>1754</v>
      </c>
      <c r="CE239" s="23">
        <v>339</v>
      </c>
      <c r="CF239" s="24">
        <v>33</v>
      </c>
      <c r="CG239" s="20">
        <v>48</v>
      </c>
    </row>
    <row r="240" spans="1:85" x14ac:dyDescent="0.3">
      <c r="A240" t="s">
        <v>479</v>
      </c>
      <c r="B240">
        <v>21207</v>
      </c>
      <c r="C240" t="s">
        <v>480</v>
      </c>
      <c r="D240" s="19">
        <v>47833</v>
      </c>
      <c r="E240" s="20">
        <v>1627</v>
      </c>
      <c r="F240" s="19">
        <v>8504</v>
      </c>
      <c r="G240" s="23">
        <v>1683</v>
      </c>
      <c r="H240" s="24">
        <v>2376</v>
      </c>
      <c r="I240" s="23">
        <v>780</v>
      </c>
      <c r="J240" s="24">
        <v>2282</v>
      </c>
      <c r="K240" s="23">
        <v>749</v>
      </c>
      <c r="L240" s="24">
        <v>94</v>
      </c>
      <c r="M240" s="23">
        <v>116</v>
      </c>
      <c r="N240" s="24">
        <v>4194</v>
      </c>
      <c r="O240" s="23">
        <v>798</v>
      </c>
      <c r="P240" s="24">
        <v>3342</v>
      </c>
      <c r="Q240" s="23">
        <v>676</v>
      </c>
      <c r="R240" s="24">
        <v>852</v>
      </c>
      <c r="S240" s="23">
        <v>335</v>
      </c>
      <c r="T240" s="24">
        <v>1934</v>
      </c>
      <c r="U240" s="23">
        <v>575</v>
      </c>
      <c r="V240" s="24">
        <v>1849</v>
      </c>
      <c r="W240" s="23">
        <v>528</v>
      </c>
      <c r="X240" s="24">
        <v>85</v>
      </c>
      <c r="Y240" s="20">
        <v>116</v>
      </c>
      <c r="Z240" s="19">
        <v>5566</v>
      </c>
      <c r="AA240" s="23">
        <v>1297</v>
      </c>
      <c r="AB240" s="24">
        <v>1585</v>
      </c>
      <c r="AC240" s="23">
        <v>409</v>
      </c>
      <c r="AD240" s="24">
        <v>1473</v>
      </c>
      <c r="AE240" s="23">
        <v>381</v>
      </c>
      <c r="AF240" s="24">
        <v>112</v>
      </c>
      <c r="AG240" s="23">
        <v>119</v>
      </c>
      <c r="AH240" s="24">
        <v>3256</v>
      </c>
      <c r="AI240" s="23">
        <v>1050</v>
      </c>
      <c r="AJ240" s="24">
        <v>2968</v>
      </c>
      <c r="AK240" s="23">
        <v>901</v>
      </c>
      <c r="AL240" s="24">
        <v>288</v>
      </c>
      <c r="AM240" s="23">
        <v>187</v>
      </c>
      <c r="AN240" s="24">
        <v>725</v>
      </c>
      <c r="AO240" s="23">
        <v>166</v>
      </c>
      <c r="AP240" s="24">
        <v>725</v>
      </c>
      <c r="AQ240" s="23">
        <v>166</v>
      </c>
      <c r="AR240" s="24">
        <v>0</v>
      </c>
      <c r="AS240" s="20">
        <v>25</v>
      </c>
      <c r="AT240" s="19">
        <v>16972</v>
      </c>
      <c r="AU240" s="23">
        <v>1453</v>
      </c>
      <c r="AV240" s="24">
        <v>3734</v>
      </c>
      <c r="AW240" s="23">
        <v>640</v>
      </c>
      <c r="AX240" s="24">
        <v>3563</v>
      </c>
      <c r="AY240" s="23">
        <v>620</v>
      </c>
      <c r="AZ240" s="24">
        <v>171</v>
      </c>
      <c r="BA240" s="23">
        <v>103</v>
      </c>
      <c r="BB240" s="24">
        <v>10735</v>
      </c>
      <c r="BC240" s="23">
        <v>854</v>
      </c>
      <c r="BD240" s="24">
        <v>9191</v>
      </c>
      <c r="BE240" s="23">
        <v>730</v>
      </c>
      <c r="BF240" s="24">
        <v>1544</v>
      </c>
      <c r="BG240" s="23">
        <v>357</v>
      </c>
      <c r="BH240" s="24">
        <v>2503</v>
      </c>
      <c r="BI240" s="23">
        <v>313</v>
      </c>
      <c r="BJ240" s="24">
        <v>2481</v>
      </c>
      <c r="BK240" s="23">
        <v>312</v>
      </c>
      <c r="BL240" s="24">
        <v>22</v>
      </c>
      <c r="BM240" s="20">
        <v>32</v>
      </c>
      <c r="BN240" s="19">
        <v>16791</v>
      </c>
      <c r="BO240" s="23">
        <v>1217</v>
      </c>
      <c r="BP240" s="24">
        <v>2232</v>
      </c>
      <c r="BQ240" s="23">
        <v>482</v>
      </c>
      <c r="BR240" s="24">
        <v>2197</v>
      </c>
      <c r="BS240" s="23">
        <v>481</v>
      </c>
      <c r="BT240" s="26">
        <v>35</v>
      </c>
      <c r="BU240" s="23">
        <v>38</v>
      </c>
      <c r="BV240" s="24">
        <v>10860</v>
      </c>
      <c r="BW240" s="23">
        <v>860</v>
      </c>
      <c r="BX240" s="24">
        <v>10400</v>
      </c>
      <c r="BY240" s="23">
        <v>832</v>
      </c>
      <c r="BZ240" s="24">
        <v>460</v>
      </c>
      <c r="CA240" s="23">
        <v>154</v>
      </c>
      <c r="CB240" s="24">
        <v>3699</v>
      </c>
      <c r="CC240" s="23">
        <v>362</v>
      </c>
      <c r="CD240" s="24">
        <v>3699</v>
      </c>
      <c r="CE240" s="23">
        <v>362</v>
      </c>
      <c r="CF240" s="24">
        <v>0</v>
      </c>
      <c r="CG240" s="20">
        <v>25</v>
      </c>
    </row>
    <row r="241" spans="1:85" x14ac:dyDescent="0.3">
      <c r="A241" t="s">
        <v>481</v>
      </c>
      <c r="B241">
        <v>21208</v>
      </c>
      <c r="C241" t="s">
        <v>482</v>
      </c>
      <c r="D241" s="19">
        <v>36045</v>
      </c>
      <c r="E241" s="20">
        <v>1388</v>
      </c>
      <c r="F241" s="19">
        <v>4937</v>
      </c>
      <c r="G241" s="23">
        <v>1373</v>
      </c>
      <c r="H241" s="24">
        <v>1796</v>
      </c>
      <c r="I241" s="23">
        <v>969</v>
      </c>
      <c r="J241" s="24">
        <v>1636</v>
      </c>
      <c r="K241" s="23">
        <v>943</v>
      </c>
      <c r="L241" s="24">
        <v>160</v>
      </c>
      <c r="M241" s="23">
        <v>210</v>
      </c>
      <c r="N241" s="24">
        <v>2168</v>
      </c>
      <c r="O241" s="23">
        <v>623</v>
      </c>
      <c r="P241" s="24">
        <v>1927</v>
      </c>
      <c r="Q241" s="23">
        <v>611</v>
      </c>
      <c r="R241" s="24">
        <v>241</v>
      </c>
      <c r="S241" s="23">
        <v>153</v>
      </c>
      <c r="T241" s="24">
        <v>973</v>
      </c>
      <c r="U241" s="23">
        <v>270</v>
      </c>
      <c r="V241" s="24">
        <v>952</v>
      </c>
      <c r="W241" s="23">
        <v>270</v>
      </c>
      <c r="X241" s="24">
        <v>21</v>
      </c>
      <c r="Y241" s="20">
        <v>61</v>
      </c>
      <c r="Z241" s="19">
        <v>2838</v>
      </c>
      <c r="AA241" s="23">
        <v>623</v>
      </c>
      <c r="AB241" s="24">
        <v>862</v>
      </c>
      <c r="AC241" s="23">
        <v>352</v>
      </c>
      <c r="AD241" s="24">
        <v>823</v>
      </c>
      <c r="AE241" s="23">
        <v>349</v>
      </c>
      <c r="AF241" s="24">
        <v>39</v>
      </c>
      <c r="AG241" s="23">
        <v>56</v>
      </c>
      <c r="AH241" s="24">
        <v>1255</v>
      </c>
      <c r="AI241" s="23">
        <v>334</v>
      </c>
      <c r="AJ241" s="24">
        <v>1072</v>
      </c>
      <c r="AK241" s="23">
        <v>314</v>
      </c>
      <c r="AL241" s="24">
        <v>183</v>
      </c>
      <c r="AM241" s="23">
        <v>110</v>
      </c>
      <c r="AN241" s="24">
        <v>721</v>
      </c>
      <c r="AO241" s="23">
        <v>236</v>
      </c>
      <c r="AP241" s="24">
        <v>721</v>
      </c>
      <c r="AQ241" s="23">
        <v>236</v>
      </c>
      <c r="AR241" s="24">
        <v>0</v>
      </c>
      <c r="AS241" s="20">
        <v>25</v>
      </c>
      <c r="AT241" s="19">
        <v>9674</v>
      </c>
      <c r="AU241" s="23">
        <v>1162</v>
      </c>
      <c r="AV241" s="24">
        <v>2427</v>
      </c>
      <c r="AW241" s="23">
        <v>537</v>
      </c>
      <c r="AX241" s="24">
        <v>2301</v>
      </c>
      <c r="AY241" s="23">
        <v>519</v>
      </c>
      <c r="AZ241" s="24">
        <v>126</v>
      </c>
      <c r="BA241" s="23">
        <v>116</v>
      </c>
      <c r="BB241" s="24">
        <v>5059</v>
      </c>
      <c r="BC241" s="23">
        <v>716</v>
      </c>
      <c r="BD241" s="24">
        <v>4301</v>
      </c>
      <c r="BE241" s="23">
        <v>577</v>
      </c>
      <c r="BF241" s="24">
        <v>758</v>
      </c>
      <c r="BG241" s="23">
        <v>295</v>
      </c>
      <c r="BH241" s="24">
        <v>2188</v>
      </c>
      <c r="BI241" s="23">
        <v>301</v>
      </c>
      <c r="BJ241" s="24">
        <v>2161</v>
      </c>
      <c r="BK241" s="23">
        <v>296</v>
      </c>
      <c r="BL241" s="24">
        <v>27</v>
      </c>
      <c r="BM241" s="20">
        <v>42</v>
      </c>
      <c r="BN241" s="19">
        <v>18596</v>
      </c>
      <c r="BO241" s="23">
        <v>1368</v>
      </c>
      <c r="BP241" s="24">
        <v>3013</v>
      </c>
      <c r="BQ241" s="23">
        <v>399</v>
      </c>
      <c r="BR241" s="24">
        <v>2995</v>
      </c>
      <c r="BS241" s="23">
        <v>397</v>
      </c>
      <c r="BT241" s="26">
        <v>18</v>
      </c>
      <c r="BU241" s="23">
        <v>21</v>
      </c>
      <c r="BV241" s="24">
        <v>10644</v>
      </c>
      <c r="BW241" s="23">
        <v>973</v>
      </c>
      <c r="BX241" s="24">
        <v>10468</v>
      </c>
      <c r="BY241" s="23">
        <v>975</v>
      </c>
      <c r="BZ241" s="24">
        <v>176</v>
      </c>
      <c r="CA241" s="23">
        <v>77</v>
      </c>
      <c r="CB241" s="24">
        <v>4939</v>
      </c>
      <c r="CC241" s="23">
        <v>499</v>
      </c>
      <c r="CD241" s="24">
        <v>4939</v>
      </c>
      <c r="CE241" s="23">
        <v>499</v>
      </c>
      <c r="CF241" s="24">
        <v>0</v>
      </c>
      <c r="CG241" s="20">
        <v>25</v>
      </c>
    </row>
    <row r="242" spans="1:85" x14ac:dyDescent="0.3">
      <c r="A242" t="s">
        <v>483</v>
      </c>
      <c r="B242">
        <v>21209</v>
      </c>
      <c r="C242" t="s">
        <v>484</v>
      </c>
      <c r="D242" s="19">
        <v>27428</v>
      </c>
      <c r="E242" s="20">
        <v>1087</v>
      </c>
      <c r="F242" s="19">
        <v>3503</v>
      </c>
      <c r="G242" s="23">
        <v>843</v>
      </c>
      <c r="H242" s="24">
        <v>732</v>
      </c>
      <c r="I242" s="23">
        <v>439</v>
      </c>
      <c r="J242" s="24">
        <v>711</v>
      </c>
      <c r="K242" s="23">
        <v>411</v>
      </c>
      <c r="L242" s="24">
        <v>21</v>
      </c>
      <c r="M242" s="23">
        <v>59</v>
      </c>
      <c r="N242" s="24">
        <v>1893</v>
      </c>
      <c r="O242" s="23">
        <v>510</v>
      </c>
      <c r="P242" s="24">
        <v>1708</v>
      </c>
      <c r="Q242" s="23">
        <v>492</v>
      </c>
      <c r="R242" s="24">
        <v>185</v>
      </c>
      <c r="S242" s="23">
        <v>141</v>
      </c>
      <c r="T242" s="24">
        <v>878</v>
      </c>
      <c r="U242" s="23">
        <v>312</v>
      </c>
      <c r="V242" s="24">
        <v>878</v>
      </c>
      <c r="W242" s="23">
        <v>312</v>
      </c>
      <c r="X242" s="24">
        <v>0</v>
      </c>
      <c r="Y242" s="20">
        <v>44</v>
      </c>
      <c r="Z242" s="19">
        <v>1425</v>
      </c>
      <c r="AA242" s="23">
        <v>381</v>
      </c>
      <c r="AB242" s="24">
        <v>319</v>
      </c>
      <c r="AC242" s="23">
        <v>196</v>
      </c>
      <c r="AD242" s="24">
        <v>299</v>
      </c>
      <c r="AE242" s="23">
        <v>189</v>
      </c>
      <c r="AF242" s="24">
        <v>20</v>
      </c>
      <c r="AG242" s="23">
        <v>39</v>
      </c>
      <c r="AH242" s="24">
        <v>841</v>
      </c>
      <c r="AI242" s="23">
        <v>225</v>
      </c>
      <c r="AJ242" s="24">
        <v>795</v>
      </c>
      <c r="AK242" s="23">
        <v>227</v>
      </c>
      <c r="AL242" s="24">
        <v>46</v>
      </c>
      <c r="AM242" s="23">
        <v>47</v>
      </c>
      <c r="AN242" s="24">
        <v>265</v>
      </c>
      <c r="AO242" s="23">
        <v>105</v>
      </c>
      <c r="AP242" s="24">
        <v>265</v>
      </c>
      <c r="AQ242" s="23">
        <v>105</v>
      </c>
      <c r="AR242" s="24">
        <v>0</v>
      </c>
      <c r="AS242" s="20">
        <v>22</v>
      </c>
      <c r="AT242" s="19">
        <v>6978</v>
      </c>
      <c r="AU242" s="23">
        <v>927</v>
      </c>
      <c r="AV242" s="24">
        <v>2035</v>
      </c>
      <c r="AW242" s="23">
        <v>416</v>
      </c>
      <c r="AX242" s="24">
        <v>1981</v>
      </c>
      <c r="AY242" s="23">
        <v>419</v>
      </c>
      <c r="AZ242" s="24">
        <v>54</v>
      </c>
      <c r="BA242" s="23">
        <v>65</v>
      </c>
      <c r="BB242" s="24">
        <v>3794</v>
      </c>
      <c r="BC242" s="23">
        <v>563</v>
      </c>
      <c r="BD242" s="24">
        <v>3590</v>
      </c>
      <c r="BE242" s="23">
        <v>552</v>
      </c>
      <c r="BF242" s="24">
        <v>204</v>
      </c>
      <c r="BG242" s="23">
        <v>100</v>
      </c>
      <c r="BH242" s="24">
        <v>1149</v>
      </c>
      <c r="BI242" s="23">
        <v>188</v>
      </c>
      <c r="BJ242" s="24">
        <v>1149</v>
      </c>
      <c r="BK242" s="23">
        <v>188</v>
      </c>
      <c r="BL242" s="24">
        <v>0</v>
      </c>
      <c r="BM242" s="20">
        <v>22</v>
      </c>
      <c r="BN242" s="19">
        <v>15522</v>
      </c>
      <c r="BO242" s="23">
        <v>1049</v>
      </c>
      <c r="BP242" s="24">
        <v>3630</v>
      </c>
      <c r="BQ242" s="23">
        <v>460</v>
      </c>
      <c r="BR242" s="24">
        <v>3605</v>
      </c>
      <c r="BS242" s="23">
        <v>453</v>
      </c>
      <c r="BT242" s="26">
        <v>25</v>
      </c>
      <c r="BU242" s="23">
        <v>33</v>
      </c>
      <c r="BV242" s="24">
        <v>9293</v>
      </c>
      <c r="BW242" s="23">
        <v>703</v>
      </c>
      <c r="BX242" s="24">
        <v>9052</v>
      </c>
      <c r="BY242" s="23">
        <v>704</v>
      </c>
      <c r="BZ242" s="24">
        <v>241</v>
      </c>
      <c r="CA242" s="23">
        <v>104</v>
      </c>
      <c r="CB242" s="24">
        <v>2599</v>
      </c>
      <c r="CC242" s="23">
        <v>290</v>
      </c>
      <c r="CD242" s="24">
        <v>2599</v>
      </c>
      <c r="CE242" s="23">
        <v>290</v>
      </c>
      <c r="CF242" s="24">
        <v>0</v>
      </c>
      <c r="CG242" s="20">
        <v>22</v>
      </c>
    </row>
    <row r="243" spans="1:85" x14ac:dyDescent="0.3">
      <c r="A243" t="s">
        <v>485</v>
      </c>
      <c r="B243">
        <v>21210</v>
      </c>
      <c r="C243" t="s">
        <v>486</v>
      </c>
      <c r="D243" s="19">
        <v>11155</v>
      </c>
      <c r="E243" s="20">
        <v>676</v>
      </c>
      <c r="F243" s="19">
        <v>1178</v>
      </c>
      <c r="G243" s="23">
        <v>356</v>
      </c>
      <c r="H243" s="24">
        <v>159</v>
      </c>
      <c r="I243" s="23">
        <v>145</v>
      </c>
      <c r="J243" s="24">
        <v>150</v>
      </c>
      <c r="K243" s="23">
        <v>145</v>
      </c>
      <c r="L243" s="24">
        <v>9</v>
      </c>
      <c r="M243" s="23">
        <v>34</v>
      </c>
      <c r="N243" s="24">
        <v>894</v>
      </c>
      <c r="O243" s="23">
        <v>304</v>
      </c>
      <c r="P243" s="24">
        <v>756</v>
      </c>
      <c r="Q243" s="23">
        <v>300</v>
      </c>
      <c r="R243" s="24">
        <v>138</v>
      </c>
      <c r="S243" s="23">
        <v>107</v>
      </c>
      <c r="T243" s="24">
        <v>125</v>
      </c>
      <c r="U243" s="23">
        <v>93</v>
      </c>
      <c r="V243" s="24">
        <v>125</v>
      </c>
      <c r="W243" s="23">
        <v>93</v>
      </c>
      <c r="X243" s="24">
        <v>0</v>
      </c>
      <c r="Y243" s="20">
        <v>38</v>
      </c>
      <c r="Z243" s="19">
        <v>489</v>
      </c>
      <c r="AA243" s="23">
        <v>196</v>
      </c>
      <c r="AB243" s="24">
        <v>65</v>
      </c>
      <c r="AC243" s="23">
        <v>64</v>
      </c>
      <c r="AD243" s="24">
        <v>53</v>
      </c>
      <c r="AE243" s="23">
        <v>62</v>
      </c>
      <c r="AF243" s="24">
        <v>12</v>
      </c>
      <c r="AG243" s="23">
        <v>18</v>
      </c>
      <c r="AH243" s="24">
        <v>347</v>
      </c>
      <c r="AI243" s="23">
        <v>157</v>
      </c>
      <c r="AJ243" s="24">
        <v>325</v>
      </c>
      <c r="AK243" s="23">
        <v>152</v>
      </c>
      <c r="AL243" s="24">
        <v>22</v>
      </c>
      <c r="AM243" s="23">
        <v>24</v>
      </c>
      <c r="AN243" s="24">
        <v>77</v>
      </c>
      <c r="AO243" s="23">
        <v>37</v>
      </c>
      <c r="AP243" s="24">
        <v>77</v>
      </c>
      <c r="AQ243" s="23">
        <v>37</v>
      </c>
      <c r="AR243" s="24">
        <v>0</v>
      </c>
      <c r="AS243" s="20">
        <v>19</v>
      </c>
      <c r="AT243" s="19">
        <v>1674</v>
      </c>
      <c r="AU243" s="23">
        <v>328</v>
      </c>
      <c r="AV243" s="24">
        <v>169</v>
      </c>
      <c r="AW243" s="23">
        <v>87</v>
      </c>
      <c r="AX243" s="24">
        <v>169</v>
      </c>
      <c r="AY243" s="23">
        <v>87</v>
      </c>
      <c r="AZ243" s="24">
        <v>0</v>
      </c>
      <c r="BA243" s="23">
        <v>19</v>
      </c>
      <c r="BB243" s="24">
        <v>1095</v>
      </c>
      <c r="BC243" s="23">
        <v>234</v>
      </c>
      <c r="BD243" s="24">
        <v>1063</v>
      </c>
      <c r="BE243" s="23">
        <v>233</v>
      </c>
      <c r="BF243" s="24">
        <v>32</v>
      </c>
      <c r="BG243" s="23">
        <v>30</v>
      </c>
      <c r="BH243" s="24">
        <v>410</v>
      </c>
      <c r="BI243" s="23">
        <v>119</v>
      </c>
      <c r="BJ243" s="24">
        <v>410</v>
      </c>
      <c r="BK243" s="23">
        <v>119</v>
      </c>
      <c r="BL243" s="24">
        <v>0</v>
      </c>
      <c r="BM243" s="20">
        <v>19</v>
      </c>
      <c r="BN243" s="19">
        <v>7814</v>
      </c>
      <c r="BO243" s="23">
        <v>664</v>
      </c>
      <c r="BP243" s="24">
        <v>1781</v>
      </c>
      <c r="BQ243" s="23">
        <v>317</v>
      </c>
      <c r="BR243" s="24">
        <v>1752</v>
      </c>
      <c r="BS243" s="23">
        <v>314</v>
      </c>
      <c r="BT243" s="26">
        <v>29</v>
      </c>
      <c r="BU243" s="23">
        <v>32</v>
      </c>
      <c r="BV243" s="24">
        <v>4349</v>
      </c>
      <c r="BW243" s="23">
        <v>406</v>
      </c>
      <c r="BX243" s="24">
        <v>4273</v>
      </c>
      <c r="BY243" s="23">
        <v>417</v>
      </c>
      <c r="BZ243" s="24">
        <v>76</v>
      </c>
      <c r="CA243" s="23">
        <v>64</v>
      </c>
      <c r="CB243" s="24">
        <v>1684</v>
      </c>
      <c r="CC243" s="23">
        <v>224</v>
      </c>
      <c r="CD243" s="24">
        <v>1670</v>
      </c>
      <c r="CE243" s="23">
        <v>223</v>
      </c>
      <c r="CF243" s="24">
        <v>14</v>
      </c>
      <c r="CG243" s="20">
        <v>23</v>
      </c>
    </row>
    <row r="244" spans="1:85" x14ac:dyDescent="0.3">
      <c r="A244" t="s">
        <v>487</v>
      </c>
      <c r="B244">
        <v>21211</v>
      </c>
      <c r="C244" t="s">
        <v>488</v>
      </c>
      <c r="D244" s="19">
        <v>15985</v>
      </c>
      <c r="E244" s="20">
        <v>582</v>
      </c>
      <c r="F244" s="19">
        <v>2625</v>
      </c>
      <c r="G244" s="23">
        <v>657</v>
      </c>
      <c r="H244" s="24">
        <v>315</v>
      </c>
      <c r="I244" s="23">
        <v>190</v>
      </c>
      <c r="J244" s="24">
        <v>310</v>
      </c>
      <c r="K244" s="23">
        <v>191</v>
      </c>
      <c r="L244" s="24">
        <v>5</v>
      </c>
      <c r="M244" s="23">
        <v>26</v>
      </c>
      <c r="N244" s="24">
        <v>1865</v>
      </c>
      <c r="O244" s="23">
        <v>497</v>
      </c>
      <c r="P244" s="24">
        <v>1552</v>
      </c>
      <c r="Q244" s="23">
        <v>441</v>
      </c>
      <c r="R244" s="24">
        <v>313</v>
      </c>
      <c r="S244" s="23">
        <v>181</v>
      </c>
      <c r="T244" s="24">
        <v>445</v>
      </c>
      <c r="U244" s="23">
        <v>248</v>
      </c>
      <c r="V244" s="24">
        <v>445</v>
      </c>
      <c r="W244" s="23">
        <v>248</v>
      </c>
      <c r="X244" s="24">
        <v>0</v>
      </c>
      <c r="Y244" s="20">
        <v>38</v>
      </c>
      <c r="Z244" s="19">
        <v>1572</v>
      </c>
      <c r="AA244" s="23">
        <v>323</v>
      </c>
      <c r="AB244" s="24">
        <v>222</v>
      </c>
      <c r="AC244" s="23">
        <v>93</v>
      </c>
      <c r="AD244" s="24">
        <v>222</v>
      </c>
      <c r="AE244" s="23">
        <v>93</v>
      </c>
      <c r="AF244" s="24">
        <v>0</v>
      </c>
      <c r="AG244" s="23">
        <v>19</v>
      </c>
      <c r="AH244" s="24">
        <v>934</v>
      </c>
      <c r="AI244" s="23">
        <v>224</v>
      </c>
      <c r="AJ244" s="24">
        <v>809</v>
      </c>
      <c r="AK244" s="23">
        <v>203</v>
      </c>
      <c r="AL244" s="24">
        <v>125</v>
      </c>
      <c r="AM244" s="23">
        <v>77</v>
      </c>
      <c r="AN244" s="24">
        <v>416</v>
      </c>
      <c r="AO244" s="23">
        <v>141</v>
      </c>
      <c r="AP244" s="24">
        <v>416</v>
      </c>
      <c r="AQ244" s="23">
        <v>141</v>
      </c>
      <c r="AR244" s="24">
        <v>0</v>
      </c>
      <c r="AS244" s="20">
        <v>19</v>
      </c>
      <c r="AT244" s="19">
        <v>4874</v>
      </c>
      <c r="AU244" s="23">
        <v>610</v>
      </c>
      <c r="AV244" s="24">
        <v>832</v>
      </c>
      <c r="AW244" s="23">
        <v>257</v>
      </c>
      <c r="AX244" s="24">
        <v>832</v>
      </c>
      <c r="AY244" s="23">
        <v>257</v>
      </c>
      <c r="AZ244" s="24">
        <v>0</v>
      </c>
      <c r="BA244" s="23">
        <v>19</v>
      </c>
      <c r="BB244" s="24">
        <v>3382</v>
      </c>
      <c r="BC244" s="23">
        <v>422</v>
      </c>
      <c r="BD244" s="24">
        <v>3142</v>
      </c>
      <c r="BE244" s="23">
        <v>409</v>
      </c>
      <c r="BF244" s="24">
        <v>240</v>
      </c>
      <c r="BG244" s="23">
        <v>85</v>
      </c>
      <c r="BH244" s="24">
        <v>660</v>
      </c>
      <c r="BI244" s="23">
        <v>135</v>
      </c>
      <c r="BJ244" s="24">
        <v>660</v>
      </c>
      <c r="BK244" s="23">
        <v>135</v>
      </c>
      <c r="BL244" s="24">
        <v>0</v>
      </c>
      <c r="BM244" s="20">
        <v>19</v>
      </c>
      <c r="BN244" s="19">
        <v>6914</v>
      </c>
      <c r="BO244" s="23">
        <v>558</v>
      </c>
      <c r="BP244" s="24">
        <v>855</v>
      </c>
      <c r="BQ244" s="23">
        <v>186</v>
      </c>
      <c r="BR244" s="24">
        <v>820</v>
      </c>
      <c r="BS244" s="23">
        <v>186</v>
      </c>
      <c r="BT244" s="26">
        <v>35</v>
      </c>
      <c r="BU244" s="23">
        <v>38</v>
      </c>
      <c r="BV244" s="24">
        <v>5533</v>
      </c>
      <c r="BW244" s="23">
        <v>429</v>
      </c>
      <c r="BX244" s="24">
        <v>5389</v>
      </c>
      <c r="BY244" s="23">
        <v>425</v>
      </c>
      <c r="BZ244" s="24">
        <v>144</v>
      </c>
      <c r="CA244" s="23">
        <v>66</v>
      </c>
      <c r="CB244" s="24">
        <v>526</v>
      </c>
      <c r="CC244" s="23">
        <v>141</v>
      </c>
      <c r="CD244" s="24">
        <v>526</v>
      </c>
      <c r="CE244" s="23">
        <v>141</v>
      </c>
      <c r="CF244" s="24">
        <v>0</v>
      </c>
      <c r="CG244" s="20">
        <v>19</v>
      </c>
    </row>
    <row r="245" spans="1:85" x14ac:dyDescent="0.3">
      <c r="A245" t="s">
        <v>489</v>
      </c>
      <c r="B245">
        <v>21212</v>
      </c>
      <c r="C245" t="s">
        <v>490</v>
      </c>
      <c r="D245" s="19">
        <v>33560</v>
      </c>
      <c r="E245" s="20">
        <v>1171</v>
      </c>
      <c r="F245" s="19">
        <v>5832</v>
      </c>
      <c r="G245" s="23">
        <v>1306</v>
      </c>
      <c r="H245" s="24">
        <v>1908</v>
      </c>
      <c r="I245" s="23">
        <v>718</v>
      </c>
      <c r="J245" s="24">
        <v>1762</v>
      </c>
      <c r="K245" s="23">
        <v>701</v>
      </c>
      <c r="L245" s="24">
        <v>146</v>
      </c>
      <c r="M245" s="23">
        <v>191</v>
      </c>
      <c r="N245" s="24">
        <v>3187</v>
      </c>
      <c r="O245" s="23">
        <v>666</v>
      </c>
      <c r="P245" s="24">
        <v>2573</v>
      </c>
      <c r="Q245" s="23">
        <v>563</v>
      </c>
      <c r="R245" s="24">
        <v>614</v>
      </c>
      <c r="S245" s="23">
        <v>251</v>
      </c>
      <c r="T245" s="24">
        <v>737</v>
      </c>
      <c r="U245" s="23">
        <v>246</v>
      </c>
      <c r="V245" s="24">
        <v>731</v>
      </c>
      <c r="W245" s="23">
        <v>245</v>
      </c>
      <c r="X245" s="24">
        <v>6</v>
      </c>
      <c r="Y245" s="20">
        <v>41</v>
      </c>
      <c r="Z245" s="19">
        <v>3082</v>
      </c>
      <c r="AA245" s="23">
        <v>488</v>
      </c>
      <c r="AB245" s="24">
        <v>818</v>
      </c>
      <c r="AC245" s="23">
        <v>244</v>
      </c>
      <c r="AD245" s="24">
        <v>766</v>
      </c>
      <c r="AE245" s="23">
        <v>233</v>
      </c>
      <c r="AF245" s="24">
        <v>52</v>
      </c>
      <c r="AG245" s="23">
        <v>53</v>
      </c>
      <c r="AH245" s="24">
        <v>1811</v>
      </c>
      <c r="AI245" s="23">
        <v>333</v>
      </c>
      <c r="AJ245" s="24">
        <v>1447</v>
      </c>
      <c r="AK245" s="23">
        <v>275</v>
      </c>
      <c r="AL245" s="24">
        <v>364</v>
      </c>
      <c r="AM245" s="23">
        <v>157</v>
      </c>
      <c r="AN245" s="24">
        <v>453</v>
      </c>
      <c r="AO245" s="23">
        <v>113</v>
      </c>
      <c r="AP245" s="24">
        <v>453</v>
      </c>
      <c r="AQ245" s="23">
        <v>113</v>
      </c>
      <c r="AR245" s="24">
        <v>0</v>
      </c>
      <c r="AS245" s="20">
        <v>25</v>
      </c>
      <c r="AT245" s="19">
        <v>7637</v>
      </c>
      <c r="AU245" s="23">
        <v>789</v>
      </c>
      <c r="AV245" s="24">
        <v>1942</v>
      </c>
      <c r="AW245" s="23">
        <v>375</v>
      </c>
      <c r="AX245" s="24">
        <v>1867</v>
      </c>
      <c r="AY245" s="23">
        <v>368</v>
      </c>
      <c r="AZ245" s="24">
        <v>75</v>
      </c>
      <c r="BA245" s="23">
        <v>71</v>
      </c>
      <c r="BB245" s="24">
        <v>4540</v>
      </c>
      <c r="BC245" s="23">
        <v>485</v>
      </c>
      <c r="BD245" s="24">
        <v>4216</v>
      </c>
      <c r="BE245" s="23">
        <v>456</v>
      </c>
      <c r="BF245" s="24">
        <v>324</v>
      </c>
      <c r="BG245" s="23">
        <v>137</v>
      </c>
      <c r="BH245" s="24">
        <v>1155</v>
      </c>
      <c r="BI245" s="23">
        <v>216</v>
      </c>
      <c r="BJ245" s="24">
        <v>1155</v>
      </c>
      <c r="BK245" s="23">
        <v>216</v>
      </c>
      <c r="BL245" s="24">
        <v>0</v>
      </c>
      <c r="BM245" s="20">
        <v>25</v>
      </c>
      <c r="BN245" s="19">
        <v>17009</v>
      </c>
      <c r="BO245" s="23">
        <v>942</v>
      </c>
      <c r="BP245" s="24">
        <v>4092</v>
      </c>
      <c r="BQ245" s="23">
        <v>357</v>
      </c>
      <c r="BR245" s="24">
        <v>4071</v>
      </c>
      <c r="BS245" s="23">
        <v>358</v>
      </c>
      <c r="BT245" s="26">
        <v>21</v>
      </c>
      <c r="BU245" s="23">
        <v>23</v>
      </c>
      <c r="BV245" s="24">
        <v>10700</v>
      </c>
      <c r="BW245" s="23">
        <v>589</v>
      </c>
      <c r="BX245" s="24">
        <v>10346</v>
      </c>
      <c r="BY245" s="23">
        <v>544</v>
      </c>
      <c r="BZ245" s="24">
        <v>354</v>
      </c>
      <c r="CA245" s="23">
        <v>215</v>
      </c>
      <c r="CB245" s="24">
        <v>2217</v>
      </c>
      <c r="CC245" s="23">
        <v>299</v>
      </c>
      <c r="CD245" s="24">
        <v>2211</v>
      </c>
      <c r="CE245" s="23">
        <v>298</v>
      </c>
      <c r="CF245" s="24">
        <v>6</v>
      </c>
      <c r="CG245" s="20">
        <v>8</v>
      </c>
    </row>
    <row r="246" spans="1:85" x14ac:dyDescent="0.3">
      <c r="A246" t="s">
        <v>491</v>
      </c>
      <c r="B246">
        <v>21213</v>
      </c>
      <c r="C246" t="s">
        <v>492</v>
      </c>
      <c r="D246" s="19">
        <v>31583</v>
      </c>
      <c r="E246" s="20">
        <v>1365</v>
      </c>
      <c r="F246" s="19">
        <v>12400</v>
      </c>
      <c r="G246" s="23">
        <v>1931</v>
      </c>
      <c r="H246" s="24">
        <v>4542</v>
      </c>
      <c r="I246" s="23">
        <v>1195</v>
      </c>
      <c r="J246" s="24">
        <v>4293</v>
      </c>
      <c r="K246" s="23">
        <v>1129</v>
      </c>
      <c r="L246" s="24">
        <v>249</v>
      </c>
      <c r="M246" s="23">
        <v>261</v>
      </c>
      <c r="N246" s="24">
        <v>6706</v>
      </c>
      <c r="O246" s="23">
        <v>1101</v>
      </c>
      <c r="P246" s="24">
        <v>5726</v>
      </c>
      <c r="Q246" s="23">
        <v>989</v>
      </c>
      <c r="R246" s="24">
        <v>980</v>
      </c>
      <c r="S246" s="23">
        <v>422</v>
      </c>
      <c r="T246" s="24">
        <v>1152</v>
      </c>
      <c r="U246" s="23">
        <v>299</v>
      </c>
      <c r="V246" s="24">
        <v>1137</v>
      </c>
      <c r="W246" s="23">
        <v>294</v>
      </c>
      <c r="X246" s="24">
        <v>15</v>
      </c>
      <c r="Y246" s="20">
        <v>61</v>
      </c>
      <c r="Z246" s="19">
        <v>5110</v>
      </c>
      <c r="AA246" s="23">
        <v>845</v>
      </c>
      <c r="AB246" s="24">
        <v>1590</v>
      </c>
      <c r="AC246" s="23">
        <v>380</v>
      </c>
      <c r="AD246" s="24">
        <v>1590</v>
      </c>
      <c r="AE246" s="23">
        <v>380</v>
      </c>
      <c r="AF246" s="24">
        <v>0</v>
      </c>
      <c r="AG246" s="23">
        <v>25</v>
      </c>
      <c r="AH246" s="24">
        <v>2719</v>
      </c>
      <c r="AI246" s="23">
        <v>525</v>
      </c>
      <c r="AJ246" s="24">
        <v>2369</v>
      </c>
      <c r="AK246" s="23">
        <v>443</v>
      </c>
      <c r="AL246" s="24">
        <v>350</v>
      </c>
      <c r="AM246" s="23">
        <v>185</v>
      </c>
      <c r="AN246" s="24">
        <v>801</v>
      </c>
      <c r="AO246" s="23">
        <v>210</v>
      </c>
      <c r="AP246" s="24">
        <v>801</v>
      </c>
      <c r="AQ246" s="23">
        <v>210</v>
      </c>
      <c r="AR246" s="24">
        <v>0</v>
      </c>
      <c r="AS246" s="20">
        <v>25</v>
      </c>
      <c r="AT246" s="19">
        <v>8842</v>
      </c>
      <c r="AU246" s="23">
        <v>989</v>
      </c>
      <c r="AV246" s="24">
        <v>2114</v>
      </c>
      <c r="AW246" s="23">
        <v>431</v>
      </c>
      <c r="AX246" s="24">
        <v>2097</v>
      </c>
      <c r="AY246" s="23">
        <v>428</v>
      </c>
      <c r="AZ246" s="24">
        <v>17</v>
      </c>
      <c r="BA246" s="23">
        <v>19</v>
      </c>
      <c r="BB246" s="24">
        <v>5914</v>
      </c>
      <c r="BC246" s="23">
        <v>653</v>
      </c>
      <c r="BD246" s="24">
        <v>5485</v>
      </c>
      <c r="BE246" s="23">
        <v>636</v>
      </c>
      <c r="BF246" s="24">
        <v>429</v>
      </c>
      <c r="BG246" s="23">
        <v>143</v>
      </c>
      <c r="BH246" s="24">
        <v>814</v>
      </c>
      <c r="BI246" s="23">
        <v>175</v>
      </c>
      <c r="BJ246" s="24">
        <v>798</v>
      </c>
      <c r="BK246" s="23">
        <v>173</v>
      </c>
      <c r="BL246" s="24">
        <v>16</v>
      </c>
      <c r="BM246" s="20">
        <v>24</v>
      </c>
      <c r="BN246" s="19">
        <v>5231</v>
      </c>
      <c r="BO246" s="23">
        <v>671</v>
      </c>
      <c r="BP246" s="24">
        <v>650</v>
      </c>
      <c r="BQ246" s="23">
        <v>195</v>
      </c>
      <c r="BR246" s="24">
        <v>650</v>
      </c>
      <c r="BS246" s="23">
        <v>195</v>
      </c>
      <c r="BT246" s="26">
        <v>0</v>
      </c>
      <c r="BU246" s="23">
        <v>25</v>
      </c>
      <c r="BV246" s="24">
        <v>3864</v>
      </c>
      <c r="BW246" s="23">
        <v>529</v>
      </c>
      <c r="BX246" s="24">
        <v>3526</v>
      </c>
      <c r="BY246" s="23">
        <v>531</v>
      </c>
      <c r="BZ246" s="24">
        <v>338</v>
      </c>
      <c r="CA246" s="23">
        <v>219</v>
      </c>
      <c r="CB246" s="24">
        <v>717</v>
      </c>
      <c r="CC246" s="23">
        <v>138</v>
      </c>
      <c r="CD246" s="24">
        <v>717</v>
      </c>
      <c r="CE246" s="23">
        <v>138</v>
      </c>
      <c r="CF246" s="24">
        <v>0</v>
      </c>
      <c r="CG246" s="20">
        <v>25</v>
      </c>
    </row>
    <row r="247" spans="1:85" x14ac:dyDescent="0.3">
      <c r="A247" t="s">
        <v>493</v>
      </c>
      <c r="B247">
        <v>21214</v>
      </c>
      <c r="C247" t="s">
        <v>494</v>
      </c>
      <c r="D247" s="19">
        <v>20543</v>
      </c>
      <c r="E247" s="20">
        <v>947</v>
      </c>
      <c r="F247" s="19">
        <v>3758</v>
      </c>
      <c r="G247" s="23">
        <v>1133</v>
      </c>
      <c r="H247" s="24">
        <v>873</v>
      </c>
      <c r="I247" s="23">
        <v>488</v>
      </c>
      <c r="J247" s="24">
        <v>854</v>
      </c>
      <c r="K247" s="23">
        <v>484</v>
      </c>
      <c r="L247" s="24">
        <v>19</v>
      </c>
      <c r="M247" s="23">
        <v>44</v>
      </c>
      <c r="N247" s="24">
        <v>2391</v>
      </c>
      <c r="O247" s="23">
        <v>667</v>
      </c>
      <c r="P247" s="24">
        <v>2118</v>
      </c>
      <c r="Q247" s="23">
        <v>621</v>
      </c>
      <c r="R247" s="24">
        <v>273</v>
      </c>
      <c r="S247" s="23">
        <v>144</v>
      </c>
      <c r="T247" s="24">
        <v>494</v>
      </c>
      <c r="U247" s="23">
        <v>224</v>
      </c>
      <c r="V247" s="24">
        <v>493</v>
      </c>
      <c r="W247" s="23">
        <v>224</v>
      </c>
      <c r="X247" s="24">
        <v>1</v>
      </c>
      <c r="Y247" s="20">
        <v>27</v>
      </c>
      <c r="Z247" s="19">
        <v>1461</v>
      </c>
      <c r="AA247" s="23">
        <v>486</v>
      </c>
      <c r="AB247" s="24">
        <v>354</v>
      </c>
      <c r="AC247" s="23">
        <v>187</v>
      </c>
      <c r="AD247" s="24">
        <v>354</v>
      </c>
      <c r="AE247" s="23">
        <v>187</v>
      </c>
      <c r="AF247" s="24">
        <v>0</v>
      </c>
      <c r="AG247" s="23">
        <v>22</v>
      </c>
      <c r="AH247" s="24">
        <v>836</v>
      </c>
      <c r="AI247" s="23">
        <v>296</v>
      </c>
      <c r="AJ247" s="24">
        <v>657</v>
      </c>
      <c r="AK247" s="23">
        <v>253</v>
      </c>
      <c r="AL247" s="24">
        <v>179</v>
      </c>
      <c r="AM247" s="23">
        <v>83</v>
      </c>
      <c r="AN247" s="24">
        <v>271</v>
      </c>
      <c r="AO247" s="23">
        <v>107</v>
      </c>
      <c r="AP247" s="24">
        <v>271</v>
      </c>
      <c r="AQ247" s="23">
        <v>107</v>
      </c>
      <c r="AR247" s="24">
        <v>0</v>
      </c>
      <c r="AS247" s="20">
        <v>22</v>
      </c>
      <c r="AT247" s="19">
        <v>6868</v>
      </c>
      <c r="AU247" s="23">
        <v>858</v>
      </c>
      <c r="AV247" s="24">
        <v>1702</v>
      </c>
      <c r="AW247" s="23">
        <v>412</v>
      </c>
      <c r="AX247" s="24">
        <v>1692</v>
      </c>
      <c r="AY247" s="23">
        <v>410</v>
      </c>
      <c r="AZ247" s="24">
        <v>10</v>
      </c>
      <c r="BA247" s="23">
        <v>18</v>
      </c>
      <c r="BB247" s="24">
        <v>4324</v>
      </c>
      <c r="BC247" s="23">
        <v>525</v>
      </c>
      <c r="BD247" s="24">
        <v>3927</v>
      </c>
      <c r="BE247" s="23">
        <v>513</v>
      </c>
      <c r="BF247" s="24">
        <v>397</v>
      </c>
      <c r="BG247" s="23">
        <v>122</v>
      </c>
      <c r="BH247" s="24">
        <v>842</v>
      </c>
      <c r="BI247" s="23">
        <v>147</v>
      </c>
      <c r="BJ247" s="24">
        <v>842</v>
      </c>
      <c r="BK247" s="23">
        <v>147</v>
      </c>
      <c r="BL247" s="24">
        <v>0</v>
      </c>
      <c r="BM247" s="20">
        <v>22</v>
      </c>
      <c r="BN247" s="19">
        <v>8456</v>
      </c>
      <c r="BO247" s="23">
        <v>889</v>
      </c>
      <c r="BP247" s="24">
        <v>1363</v>
      </c>
      <c r="BQ247" s="23">
        <v>360</v>
      </c>
      <c r="BR247" s="24">
        <v>1363</v>
      </c>
      <c r="BS247" s="23">
        <v>360</v>
      </c>
      <c r="BT247" s="26">
        <v>0</v>
      </c>
      <c r="BU247" s="23">
        <v>22</v>
      </c>
      <c r="BV247" s="24">
        <v>6015</v>
      </c>
      <c r="BW247" s="23">
        <v>614</v>
      </c>
      <c r="BX247" s="24">
        <v>5703</v>
      </c>
      <c r="BY247" s="23">
        <v>556</v>
      </c>
      <c r="BZ247" s="24">
        <v>312</v>
      </c>
      <c r="CA247" s="23">
        <v>144</v>
      </c>
      <c r="CB247" s="24">
        <v>1078</v>
      </c>
      <c r="CC247" s="23">
        <v>194</v>
      </c>
      <c r="CD247" s="24">
        <v>1078</v>
      </c>
      <c r="CE247" s="23">
        <v>194</v>
      </c>
      <c r="CF247" s="24">
        <v>0</v>
      </c>
      <c r="CG247" s="20">
        <v>22</v>
      </c>
    </row>
    <row r="248" spans="1:85" x14ac:dyDescent="0.3">
      <c r="A248" t="s">
        <v>495</v>
      </c>
      <c r="B248">
        <v>21215</v>
      </c>
      <c r="C248" t="s">
        <v>496</v>
      </c>
      <c r="D248" s="19">
        <v>58238</v>
      </c>
      <c r="E248" s="20">
        <v>2020</v>
      </c>
      <c r="F248" s="19">
        <v>19221</v>
      </c>
      <c r="G248" s="23">
        <v>2545</v>
      </c>
      <c r="H248" s="24">
        <v>5774</v>
      </c>
      <c r="I248" s="23">
        <v>1268</v>
      </c>
      <c r="J248" s="24">
        <v>5415</v>
      </c>
      <c r="K248" s="23">
        <v>1289</v>
      </c>
      <c r="L248" s="24">
        <v>359</v>
      </c>
      <c r="M248" s="23">
        <v>229</v>
      </c>
      <c r="N248" s="24">
        <v>10484</v>
      </c>
      <c r="O248" s="23">
        <v>1481</v>
      </c>
      <c r="P248" s="24">
        <v>8684</v>
      </c>
      <c r="Q248" s="23">
        <v>1276</v>
      </c>
      <c r="R248" s="24">
        <v>1800</v>
      </c>
      <c r="S248" s="23">
        <v>593</v>
      </c>
      <c r="T248" s="24">
        <v>2963</v>
      </c>
      <c r="U248" s="23">
        <v>512</v>
      </c>
      <c r="V248" s="24">
        <v>2950</v>
      </c>
      <c r="W248" s="23">
        <v>512</v>
      </c>
      <c r="X248" s="24">
        <v>13</v>
      </c>
      <c r="Y248" s="20">
        <v>44</v>
      </c>
      <c r="Z248" s="19">
        <v>8066</v>
      </c>
      <c r="AA248" s="23">
        <v>1278</v>
      </c>
      <c r="AB248" s="24">
        <v>2459</v>
      </c>
      <c r="AC248" s="23">
        <v>704</v>
      </c>
      <c r="AD248" s="24">
        <v>2370</v>
      </c>
      <c r="AE248" s="23">
        <v>725</v>
      </c>
      <c r="AF248" s="24">
        <v>89</v>
      </c>
      <c r="AG248" s="23">
        <v>111</v>
      </c>
      <c r="AH248" s="24">
        <v>4095</v>
      </c>
      <c r="AI248" s="23">
        <v>693</v>
      </c>
      <c r="AJ248" s="24">
        <v>3550</v>
      </c>
      <c r="AK248" s="23">
        <v>659</v>
      </c>
      <c r="AL248" s="24">
        <v>545</v>
      </c>
      <c r="AM248" s="23">
        <v>185</v>
      </c>
      <c r="AN248" s="24">
        <v>1512</v>
      </c>
      <c r="AO248" s="23">
        <v>291</v>
      </c>
      <c r="AP248" s="24">
        <v>1507</v>
      </c>
      <c r="AQ248" s="23">
        <v>290</v>
      </c>
      <c r="AR248" s="24">
        <v>5</v>
      </c>
      <c r="AS248" s="20">
        <v>7</v>
      </c>
      <c r="AT248" s="19">
        <v>16275</v>
      </c>
      <c r="AU248" s="23">
        <v>1552</v>
      </c>
      <c r="AV248" s="24">
        <v>3481</v>
      </c>
      <c r="AW248" s="23">
        <v>818</v>
      </c>
      <c r="AX248" s="24">
        <v>3405</v>
      </c>
      <c r="AY248" s="23">
        <v>833</v>
      </c>
      <c r="AZ248" s="24">
        <v>76</v>
      </c>
      <c r="BA248" s="23">
        <v>60</v>
      </c>
      <c r="BB248" s="24">
        <v>9966</v>
      </c>
      <c r="BC248" s="23">
        <v>1007</v>
      </c>
      <c r="BD248" s="24">
        <v>8676</v>
      </c>
      <c r="BE248" s="23">
        <v>955</v>
      </c>
      <c r="BF248" s="24">
        <v>1290</v>
      </c>
      <c r="BG248" s="23">
        <v>355</v>
      </c>
      <c r="BH248" s="24">
        <v>2828</v>
      </c>
      <c r="BI248" s="23">
        <v>381</v>
      </c>
      <c r="BJ248" s="24">
        <v>2817</v>
      </c>
      <c r="BK248" s="23">
        <v>382</v>
      </c>
      <c r="BL248" s="24">
        <v>11</v>
      </c>
      <c r="BM248" s="20">
        <v>18</v>
      </c>
      <c r="BN248" s="19">
        <v>14676</v>
      </c>
      <c r="BO248" s="23">
        <v>1528</v>
      </c>
      <c r="BP248" s="24">
        <v>2048</v>
      </c>
      <c r="BQ248" s="23">
        <v>476</v>
      </c>
      <c r="BR248" s="24">
        <v>2012</v>
      </c>
      <c r="BS248" s="23">
        <v>476</v>
      </c>
      <c r="BT248" s="26">
        <v>36</v>
      </c>
      <c r="BU248" s="23">
        <v>43</v>
      </c>
      <c r="BV248" s="24">
        <v>9853</v>
      </c>
      <c r="BW248" s="23">
        <v>1096</v>
      </c>
      <c r="BX248" s="24">
        <v>8878</v>
      </c>
      <c r="BY248" s="23">
        <v>957</v>
      </c>
      <c r="BZ248" s="24">
        <v>975</v>
      </c>
      <c r="CA248" s="23">
        <v>387</v>
      </c>
      <c r="CB248" s="24">
        <v>2775</v>
      </c>
      <c r="CC248" s="23">
        <v>387</v>
      </c>
      <c r="CD248" s="24">
        <v>2733</v>
      </c>
      <c r="CE248" s="23">
        <v>398</v>
      </c>
      <c r="CF248" s="24">
        <v>42</v>
      </c>
      <c r="CG248" s="20">
        <v>42</v>
      </c>
    </row>
    <row r="249" spans="1:85" x14ac:dyDescent="0.3">
      <c r="A249" t="s">
        <v>497</v>
      </c>
      <c r="B249">
        <v>21216</v>
      </c>
      <c r="C249" t="s">
        <v>498</v>
      </c>
      <c r="D249" s="19">
        <v>29262</v>
      </c>
      <c r="E249" s="20">
        <v>1361</v>
      </c>
      <c r="F249" s="19">
        <v>10699</v>
      </c>
      <c r="G249" s="23">
        <v>1711</v>
      </c>
      <c r="H249" s="24">
        <v>3862</v>
      </c>
      <c r="I249" s="23">
        <v>912</v>
      </c>
      <c r="J249" s="24">
        <v>3713</v>
      </c>
      <c r="K249" s="23">
        <v>885</v>
      </c>
      <c r="L249" s="24">
        <v>149</v>
      </c>
      <c r="M249" s="23">
        <v>157</v>
      </c>
      <c r="N249" s="24">
        <v>5826</v>
      </c>
      <c r="O249" s="23">
        <v>1018</v>
      </c>
      <c r="P249" s="24">
        <v>5053</v>
      </c>
      <c r="Q249" s="23">
        <v>918</v>
      </c>
      <c r="R249" s="24">
        <v>773</v>
      </c>
      <c r="S249" s="23">
        <v>299</v>
      </c>
      <c r="T249" s="24">
        <v>1011</v>
      </c>
      <c r="U249" s="23">
        <v>258</v>
      </c>
      <c r="V249" s="24">
        <v>1011</v>
      </c>
      <c r="W249" s="23">
        <v>258</v>
      </c>
      <c r="X249" s="24">
        <v>0</v>
      </c>
      <c r="Y249" s="20">
        <v>50</v>
      </c>
      <c r="Z249" s="19">
        <v>3548</v>
      </c>
      <c r="AA249" s="23">
        <v>783</v>
      </c>
      <c r="AB249" s="24">
        <v>903</v>
      </c>
      <c r="AC249" s="23">
        <v>328</v>
      </c>
      <c r="AD249" s="24">
        <v>879</v>
      </c>
      <c r="AE249" s="23">
        <v>320</v>
      </c>
      <c r="AF249" s="24">
        <v>24</v>
      </c>
      <c r="AG249" s="23">
        <v>26</v>
      </c>
      <c r="AH249" s="24">
        <v>2126</v>
      </c>
      <c r="AI249" s="23">
        <v>499</v>
      </c>
      <c r="AJ249" s="24">
        <v>1808</v>
      </c>
      <c r="AK249" s="23">
        <v>437</v>
      </c>
      <c r="AL249" s="24">
        <v>318</v>
      </c>
      <c r="AM249" s="23">
        <v>158</v>
      </c>
      <c r="AN249" s="24">
        <v>519</v>
      </c>
      <c r="AO249" s="23">
        <v>130</v>
      </c>
      <c r="AP249" s="24">
        <v>519</v>
      </c>
      <c r="AQ249" s="23">
        <v>130</v>
      </c>
      <c r="AR249" s="24">
        <v>0</v>
      </c>
      <c r="AS249" s="20">
        <v>25</v>
      </c>
      <c r="AT249" s="19">
        <v>9035</v>
      </c>
      <c r="AU249" s="23">
        <v>1009</v>
      </c>
      <c r="AV249" s="24">
        <v>1452</v>
      </c>
      <c r="AW249" s="23">
        <v>345</v>
      </c>
      <c r="AX249" s="24">
        <v>1274</v>
      </c>
      <c r="AY249" s="23">
        <v>313</v>
      </c>
      <c r="AZ249" s="24">
        <v>178</v>
      </c>
      <c r="BA249" s="23">
        <v>158</v>
      </c>
      <c r="BB249" s="24">
        <v>6207</v>
      </c>
      <c r="BC249" s="23">
        <v>740</v>
      </c>
      <c r="BD249" s="24">
        <v>5570</v>
      </c>
      <c r="BE249" s="23">
        <v>668</v>
      </c>
      <c r="BF249" s="24">
        <v>637</v>
      </c>
      <c r="BG249" s="23">
        <v>220</v>
      </c>
      <c r="BH249" s="24">
        <v>1376</v>
      </c>
      <c r="BI249" s="23">
        <v>196</v>
      </c>
      <c r="BJ249" s="24">
        <v>1376</v>
      </c>
      <c r="BK249" s="23">
        <v>196</v>
      </c>
      <c r="BL249" s="24">
        <v>0</v>
      </c>
      <c r="BM249" s="20">
        <v>25</v>
      </c>
      <c r="BN249" s="19">
        <v>5980</v>
      </c>
      <c r="BO249" s="23">
        <v>792</v>
      </c>
      <c r="BP249" s="24">
        <v>494</v>
      </c>
      <c r="BQ249" s="23">
        <v>193</v>
      </c>
      <c r="BR249" s="24">
        <v>479</v>
      </c>
      <c r="BS249" s="23">
        <v>190</v>
      </c>
      <c r="BT249" s="26">
        <v>15</v>
      </c>
      <c r="BU249" s="23">
        <v>24</v>
      </c>
      <c r="BV249" s="24">
        <v>4365</v>
      </c>
      <c r="BW249" s="23">
        <v>609</v>
      </c>
      <c r="BX249" s="24">
        <v>4064</v>
      </c>
      <c r="BY249" s="23">
        <v>603</v>
      </c>
      <c r="BZ249" s="24">
        <v>301</v>
      </c>
      <c r="CA249" s="23">
        <v>123</v>
      </c>
      <c r="CB249" s="24">
        <v>1121</v>
      </c>
      <c r="CC249" s="23">
        <v>240</v>
      </c>
      <c r="CD249" s="24">
        <v>1089</v>
      </c>
      <c r="CE249" s="23">
        <v>215</v>
      </c>
      <c r="CF249" s="24">
        <v>32</v>
      </c>
      <c r="CG249" s="20">
        <v>51</v>
      </c>
    </row>
    <row r="250" spans="1:85" x14ac:dyDescent="0.3">
      <c r="A250" t="s">
        <v>499</v>
      </c>
      <c r="B250">
        <v>21217</v>
      </c>
      <c r="C250" t="s">
        <v>500</v>
      </c>
      <c r="D250" s="19">
        <v>35899</v>
      </c>
      <c r="E250" s="20">
        <v>1308</v>
      </c>
      <c r="F250" s="19">
        <v>16248</v>
      </c>
      <c r="G250" s="23">
        <v>1953</v>
      </c>
      <c r="H250" s="24">
        <v>5792</v>
      </c>
      <c r="I250" s="23">
        <v>1080</v>
      </c>
      <c r="J250" s="24">
        <v>5552</v>
      </c>
      <c r="K250" s="23">
        <v>1081</v>
      </c>
      <c r="L250" s="24">
        <v>240</v>
      </c>
      <c r="M250" s="23">
        <v>207</v>
      </c>
      <c r="N250" s="24">
        <v>8689</v>
      </c>
      <c r="O250" s="23">
        <v>1030</v>
      </c>
      <c r="P250" s="24">
        <v>7624</v>
      </c>
      <c r="Q250" s="23">
        <v>1007</v>
      </c>
      <c r="R250" s="24">
        <v>1065</v>
      </c>
      <c r="S250" s="23">
        <v>335</v>
      </c>
      <c r="T250" s="24">
        <v>1767</v>
      </c>
      <c r="U250" s="23">
        <v>361</v>
      </c>
      <c r="V250" s="24">
        <v>1670</v>
      </c>
      <c r="W250" s="23">
        <v>327</v>
      </c>
      <c r="X250" s="24">
        <v>97</v>
      </c>
      <c r="Y250" s="20">
        <v>103</v>
      </c>
      <c r="Z250" s="19">
        <v>4754</v>
      </c>
      <c r="AA250" s="23">
        <v>841</v>
      </c>
      <c r="AB250" s="24">
        <v>1132</v>
      </c>
      <c r="AC250" s="23">
        <v>358</v>
      </c>
      <c r="AD250" s="24">
        <v>1025</v>
      </c>
      <c r="AE250" s="23">
        <v>361</v>
      </c>
      <c r="AF250" s="24">
        <v>107</v>
      </c>
      <c r="AG250" s="23">
        <v>132</v>
      </c>
      <c r="AH250" s="24">
        <v>2657</v>
      </c>
      <c r="AI250" s="23">
        <v>512</v>
      </c>
      <c r="AJ250" s="24">
        <v>2255</v>
      </c>
      <c r="AK250" s="23">
        <v>469</v>
      </c>
      <c r="AL250" s="24">
        <v>402</v>
      </c>
      <c r="AM250" s="23">
        <v>152</v>
      </c>
      <c r="AN250" s="24">
        <v>965</v>
      </c>
      <c r="AO250" s="23">
        <v>252</v>
      </c>
      <c r="AP250" s="24">
        <v>948</v>
      </c>
      <c r="AQ250" s="23">
        <v>261</v>
      </c>
      <c r="AR250" s="24">
        <v>17</v>
      </c>
      <c r="AS250" s="20">
        <v>20</v>
      </c>
      <c r="AT250" s="19">
        <v>8422</v>
      </c>
      <c r="AU250" s="23">
        <v>1006</v>
      </c>
      <c r="AV250" s="24">
        <v>1422</v>
      </c>
      <c r="AW250" s="23">
        <v>346</v>
      </c>
      <c r="AX250" s="24">
        <v>1375</v>
      </c>
      <c r="AY250" s="23">
        <v>346</v>
      </c>
      <c r="AZ250" s="24">
        <v>47</v>
      </c>
      <c r="BA250" s="23">
        <v>45</v>
      </c>
      <c r="BB250" s="24">
        <v>5665</v>
      </c>
      <c r="BC250" s="23">
        <v>715</v>
      </c>
      <c r="BD250" s="24">
        <v>4769</v>
      </c>
      <c r="BE250" s="23">
        <v>603</v>
      </c>
      <c r="BF250" s="24">
        <v>896</v>
      </c>
      <c r="BG250" s="23">
        <v>286</v>
      </c>
      <c r="BH250" s="24">
        <v>1335</v>
      </c>
      <c r="BI250" s="23">
        <v>310</v>
      </c>
      <c r="BJ250" s="24">
        <v>1322</v>
      </c>
      <c r="BK250" s="23">
        <v>307</v>
      </c>
      <c r="BL250" s="24">
        <v>13</v>
      </c>
      <c r="BM250" s="20">
        <v>19</v>
      </c>
      <c r="BN250" s="19">
        <v>6475</v>
      </c>
      <c r="BO250" s="23">
        <v>766</v>
      </c>
      <c r="BP250" s="24">
        <v>736</v>
      </c>
      <c r="BQ250" s="23">
        <v>199</v>
      </c>
      <c r="BR250" s="24">
        <v>736</v>
      </c>
      <c r="BS250" s="23">
        <v>199</v>
      </c>
      <c r="BT250" s="26">
        <v>0</v>
      </c>
      <c r="BU250" s="23">
        <v>25</v>
      </c>
      <c r="BV250" s="24">
        <v>4927</v>
      </c>
      <c r="BW250" s="23">
        <v>621</v>
      </c>
      <c r="BX250" s="24">
        <v>4680</v>
      </c>
      <c r="BY250" s="23">
        <v>605</v>
      </c>
      <c r="BZ250" s="24">
        <v>247</v>
      </c>
      <c r="CA250" s="23">
        <v>132</v>
      </c>
      <c r="CB250" s="24">
        <v>812</v>
      </c>
      <c r="CC250" s="23">
        <v>179</v>
      </c>
      <c r="CD250" s="24">
        <v>812</v>
      </c>
      <c r="CE250" s="23">
        <v>179</v>
      </c>
      <c r="CF250" s="24">
        <v>0</v>
      </c>
      <c r="CG250" s="20">
        <v>25</v>
      </c>
    </row>
    <row r="251" spans="1:85" x14ac:dyDescent="0.3">
      <c r="A251" t="s">
        <v>501</v>
      </c>
      <c r="B251">
        <v>21218</v>
      </c>
      <c r="C251" t="s">
        <v>502</v>
      </c>
      <c r="D251" s="19">
        <v>44181</v>
      </c>
      <c r="E251" s="20">
        <v>1593</v>
      </c>
      <c r="F251" s="19">
        <v>13746</v>
      </c>
      <c r="G251" s="23">
        <v>1909</v>
      </c>
      <c r="H251" s="24">
        <v>3285</v>
      </c>
      <c r="I251" s="23">
        <v>856</v>
      </c>
      <c r="J251" s="24">
        <v>3166</v>
      </c>
      <c r="K251" s="23">
        <v>851</v>
      </c>
      <c r="L251" s="24">
        <v>119</v>
      </c>
      <c r="M251" s="23">
        <v>99</v>
      </c>
      <c r="N251" s="24">
        <v>8848</v>
      </c>
      <c r="O251" s="23">
        <v>1206</v>
      </c>
      <c r="P251" s="24">
        <v>7620</v>
      </c>
      <c r="Q251" s="23">
        <v>1154</v>
      </c>
      <c r="R251" s="24">
        <v>1228</v>
      </c>
      <c r="S251" s="23">
        <v>314</v>
      </c>
      <c r="T251" s="24">
        <v>1613</v>
      </c>
      <c r="U251" s="23">
        <v>390</v>
      </c>
      <c r="V251" s="24">
        <v>1589</v>
      </c>
      <c r="W251" s="23">
        <v>385</v>
      </c>
      <c r="X251" s="24">
        <v>24</v>
      </c>
      <c r="Y251" s="20">
        <v>51</v>
      </c>
      <c r="Z251" s="19">
        <v>4918</v>
      </c>
      <c r="AA251" s="23">
        <v>749</v>
      </c>
      <c r="AB251" s="24">
        <v>978</v>
      </c>
      <c r="AC251" s="23">
        <v>409</v>
      </c>
      <c r="AD251" s="24">
        <v>945</v>
      </c>
      <c r="AE251" s="23">
        <v>399</v>
      </c>
      <c r="AF251" s="24">
        <v>33</v>
      </c>
      <c r="AG251" s="23">
        <v>35</v>
      </c>
      <c r="AH251" s="24">
        <v>2945</v>
      </c>
      <c r="AI251" s="23">
        <v>475</v>
      </c>
      <c r="AJ251" s="24">
        <v>2594</v>
      </c>
      <c r="AK251" s="23">
        <v>458</v>
      </c>
      <c r="AL251" s="24">
        <v>351</v>
      </c>
      <c r="AM251" s="23">
        <v>137</v>
      </c>
      <c r="AN251" s="24">
        <v>995</v>
      </c>
      <c r="AO251" s="23">
        <v>198</v>
      </c>
      <c r="AP251" s="24">
        <v>995</v>
      </c>
      <c r="AQ251" s="23">
        <v>198</v>
      </c>
      <c r="AR251" s="24">
        <v>0</v>
      </c>
      <c r="AS251" s="20">
        <v>25</v>
      </c>
      <c r="AT251" s="19">
        <v>12570</v>
      </c>
      <c r="AU251" s="23">
        <v>1294</v>
      </c>
      <c r="AV251" s="24">
        <v>1908</v>
      </c>
      <c r="AW251" s="23">
        <v>382</v>
      </c>
      <c r="AX251" s="24">
        <v>1886</v>
      </c>
      <c r="AY251" s="23">
        <v>382</v>
      </c>
      <c r="AZ251" s="24">
        <v>22</v>
      </c>
      <c r="BA251" s="23">
        <v>25</v>
      </c>
      <c r="BB251" s="24">
        <v>8905</v>
      </c>
      <c r="BC251" s="23">
        <v>986</v>
      </c>
      <c r="BD251" s="24">
        <v>7955</v>
      </c>
      <c r="BE251" s="23">
        <v>906</v>
      </c>
      <c r="BF251" s="24">
        <v>950</v>
      </c>
      <c r="BG251" s="23">
        <v>276</v>
      </c>
      <c r="BH251" s="24">
        <v>1757</v>
      </c>
      <c r="BI251" s="23">
        <v>281</v>
      </c>
      <c r="BJ251" s="24">
        <v>1747</v>
      </c>
      <c r="BK251" s="23">
        <v>279</v>
      </c>
      <c r="BL251" s="24">
        <v>10</v>
      </c>
      <c r="BM251" s="20">
        <v>17</v>
      </c>
      <c r="BN251" s="19">
        <v>12947</v>
      </c>
      <c r="BO251" s="23">
        <v>1009</v>
      </c>
      <c r="BP251" s="24">
        <v>1562</v>
      </c>
      <c r="BQ251" s="23">
        <v>269</v>
      </c>
      <c r="BR251" s="24">
        <v>1541</v>
      </c>
      <c r="BS251" s="23">
        <v>264</v>
      </c>
      <c r="BT251" s="26">
        <v>21</v>
      </c>
      <c r="BU251" s="23">
        <v>26</v>
      </c>
      <c r="BV251" s="24">
        <v>9039</v>
      </c>
      <c r="BW251" s="23">
        <v>831</v>
      </c>
      <c r="BX251" s="24">
        <v>8626</v>
      </c>
      <c r="BY251" s="23">
        <v>783</v>
      </c>
      <c r="BZ251" s="24">
        <v>413</v>
      </c>
      <c r="CA251" s="23">
        <v>196</v>
      </c>
      <c r="CB251" s="24">
        <v>2346</v>
      </c>
      <c r="CC251" s="23">
        <v>310</v>
      </c>
      <c r="CD251" s="24">
        <v>2338</v>
      </c>
      <c r="CE251" s="23">
        <v>310</v>
      </c>
      <c r="CF251" s="24">
        <v>8</v>
      </c>
      <c r="CG251" s="20">
        <v>14</v>
      </c>
    </row>
    <row r="252" spans="1:85" x14ac:dyDescent="0.3">
      <c r="A252" t="s">
        <v>503</v>
      </c>
      <c r="B252">
        <v>21219</v>
      </c>
      <c r="C252" t="s">
        <v>504</v>
      </c>
      <c r="D252" s="19">
        <v>9524</v>
      </c>
      <c r="E252" s="20">
        <v>496</v>
      </c>
      <c r="F252" s="19">
        <v>1030</v>
      </c>
      <c r="G252" s="23">
        <v>460</v>
      </c>
      <c r="H252" s="24">
        <v>299</v>
      </c>
      <c r="I252" s="23">
        <v>239</v>
      </c>
      <c r="J252" s="24">
        <v>299</v>
      </c>
      <c r="K252" s="23">
        <v>239</v>
      </c>
      <c r="L252" s="24">
        <v>0</v>
      </c>
      <c r="M252" s="23">
        <v>34</v>
      </c>
      <c r="N252" s="24">
        <v>498</v>
      </c>
      <c r="O252" s="23">
        <v>238</v>
      </c>
      <c r="P252" s="24">
        <v>410</v>
      </c>
      <c r="Q252" s="23">
        <v>224</v>
      </c>
      <c r="R252" s="24">
        <v>88</v>
      </c>
      <c r="S252" s="23">
        <v>98</v>
      </c>
      <c r="T252" s="24">
        <v>233</v>
      </c>
      <c r="U252" s="23">
        <v>128</v>
      </c>
      <c r="V252" s="24">
        <v>233</v>
      </c>
      <c r="W252" s="23">
        <v>128</v>
      </c>
      <c r="X252" s="24">
        <v>0</v>
      </c>
      <c r="Y252" s="20">
        <v>34</v>
      </c>
      <c r="Z252" s="19">
        <v>475</v>
      </c>
      <c r="AA252" s="23">
        <v>197</v>
      </c>
      <c r="AB252" s="24">
        <v>29</v>
      </c>
      <c r="AC252" s="23">
        <v>34</v>
      </c>
      <c r="AD252" s="24">
        <v>29</v>
      </c>
      <c r="AE252" s="23">
        <v>34</v>
      </c>
      <c r="AF252" s="24">
        <v>0</v>
      </c>
      <c r="AG252" s="23">
        <v>17</v>
      </c>
      <c r="AH252" s="24">
        <v>216</v>
      </c>
      <c r="AI252" s="23">
        <v>131</v>
      </c>
      <c r="AJ252" s="24">
        <v>216</v>
      </c>
      <c r="AK252" s="23">
        <v>131</v>
      </c>
      <c r="AL252" s="24">
        <v>0</v>
      </c>
      <c r="AM252" s="23">
        <v>17</v>
      </c>
      <c r="AN252" s="24">
        <v>230</v>
      </c>
      <c r="AO252" s="23">
        <v>77</v>
      </c>
      <c r="AP252" s="24">
        <v>230</v>
      </c>
      <c r="AQ252" s="23">
        <v>77</v>
      </c>
      <c r="AR252" s="24">
        <v>0</v>
      </c>
      <c r="AS252" s="20">
        <v>17</v>
      </c>
      <c r="AT252" s="19">
        <v>2855</v>
      </c>
      <c r="AU252" s="23">
        <v>527</v>
      </c>
      <c r="AV252" s="24">
        <v>630</v>
      </c>
      <c r="AW252" s="23">
        <v>231</v>
      </c>
      <c r="AX252" s="24">
        <v>616</v>
      </c>
      <c r="AY252" s="23">
        <v>227</v>
      </c>
      <c r="AZ252" s="24">
        <v>14</v>
      </c>
      <c r="BA252" s="23">
        <v>19</v>
      </c>
      <c r="BB252" s="24">
        <v>1512</v>
      </c>
      <c r="BC252" s="23">
        <v>309</v>
      </c>
      <c r="BD252" s="24">
        <v>1333</v>
      </c>
      <c r="BE252" s="23">
        <v>268</v>
      </c>
      <c r="BF252" s="24">
        <v>179</v>
      </c>
      <c r="BG252" s="23">
        <v>108</v>
      </c>
      <c r="BH252" s="24">
        <v>713</v>
      </c>
      <c r="BI252" s="23">
        <v>117</v>
      </c>
      <c r="BJ252" s="24">
        <v>713</v>
      </c>
      <c r="BK252" s="23">
        <v>117</v>
      </c>
      <c r="BL252" s="24">
        <v>0</v>
      </c>
      <c r="BM252" s="20">
        <v>17</v>
      </c>
      <c r="BN252" s="19">
        <v>5164</v>
      </c>
      <c r="BO252" s="23">
        <v>541</v>
      </c>
      <c r="BP252" s="24">
        <v>1038</v>
      </c>
      <c r="BQ252" s="23">
        <v>231</v>
      </c>
      <c r="BR252" s="24">
        <v>1028</v>
      </c>
      <c r="BS252" s="23">
        <v>231</v>
      </c>
      <c r="BT252" s="26">
        <v>10</v>
      </c>
      <c r="BU252" s="23">
        <v>16</v>
      </c>
      <c r="BV252" s="24">
        <v>3415</v>
      </c>
      <c r="BW252" s="23">
        <v>351</v>
      </c>
      <c r="BX252" s="24">
        <v>3322</v>
      </c>
      <c r="BY252" s="23">
        <v>350</v>
      </c>
      <c r="BZ252" s="24">
        <v>93</v>
      </c>
      <c r="CA252" s="23">
        <v>68</v>
      </c>
      <c r="CB252" s="24">
        <v>711</v>
      </c>
      <c r="CC252" s="23">
        <v>136</v>
      </c>
      <c r="CD252" s="24">
        <v>694</v>
      </c>
      <c r="CE252" s="23">
        <v>133</v>
      </c>
      <c r="CF252" s="24">
        <v>17</v>
      </c>
      <c r="CG252" s="20">
        <v>27</v>
      </c>
    </row>
    <row r="253" spans="1:85" x14ac:dyDescent="0.3">
      <c r="A253" t="s">
        <v>505</v>
      </c>
      <c r="B253">
        <v>21220</v>
      </c>
      <c r="C253" t="s">
        <v>506</v>
      </c>
      <c r="D253" s="19">
        <v>40016</v>
      </c>
      <c r="E253" s="20">
        <v>1333</v>
      </c>
      <c r="F253" s="19">
        <v>6134</v>
      </c>
      <c r="G253" s="23">
        <v>1509</v>
      </c>
      <c r="H253" s="24">
        <v>2001</v>
      </c>
      <c r="I253" s="23">
        <v>758</v>
      </c>
      <c r="J253" s="24">
        <v>1800</v>
      </c>
      <c r="K253" s="23">
        <v>726</v>
      </c>
      <c r="L253" s="24">
        <v>201</v>
      </c>
      <c r="M253" s="23">
        <v>197</v>
      </c>
      <c r="N253" s="24">
        <v>3524</v>
      </c>
      <c r="O253" s="23">
        <v>823</v>
      </c>
      <c r="P253" s="24">
        <v>2759</v>
      </c>
      <c r="Q253" s="23">
        <v>683</v>
      </c>
      <c r="R253" s="24">
        <v>765</v>
      </c>
      <c r="S253" s="23">
        <v>341</v>
      </c>
      <c r="T253" s="24">
        <v>609</v>
      </c>
      <c r="U253" s="23">
        <v>214</v>
      </c>
      <c r="V253" s="24">
        <v>609</v>
      </c>
      <c r="W253" s="23">
        <v>214</v>
      </c>
      <c r="X253" s="24">
        <v>0</v>
      </c>
      <c r="Y253" s="20">
        <v>50</v>
      </c>
      <c r="Z253" s="19">
        <v>5242</v>
      </c>
      <c r="AA253" s="23">
        <v>1111</v>
      </c>
      <c r="AB253" s="24">
        <v>1545</v>
      </c>
      <c r="AC253" s="23">
        <v>578</v>
      </c>
      <c r="AD253" s="24">
        <v>1485</v>
      </c>
      <c r="AE253" s="23">
        <v>572</v>
      </c>
      <c r="AF253" s="24">
        <v>60</v>
      </c>
      <c r="AG253" s="23">
        <v>52</v>
      </c>
      <c r="AH253" s="24">
        <v>2755</v>
      </c>
      <c r="AI253" s="23">
        <v>562</v>
      </c>
      <c r="AJ253" s="24">
        <v>2181</v>
      </c>
      <c r="AK253" s="23">
        <v>450</v>
      </c>
      <c r="AL253" s="24">
        <v>574</v>
      </c>
      <c r="AM253" s="23">
        <v>372</v>
      </c>
      <c r="AN253" s="24">
        <v>942</v>
      </c>
      <c r="AO253" s="23">
        <v>186</v>
      </c>
      <c r="AP253" s="24">
        <v>942</v>
      </c>
      <c r="AQ253" s="23">
        <v>186</v>
      </c>
      <c r="AR253" s="24">
        <v>0</v>
      </c>
      <c r="AS253" s="20">
        <v>25</v>
      </c>
      <c r="AT253" s="19">
        <v>13153</v>
      </c>
      <c r="AU253" s="23">
        <v>1388</v>
      </c>
      <c r="AV253" s="24">
        <v>3125</v>
      </c>
      <c r="AW253" s="23">
        <v>614</v>
      </c>
      <c r="AX253" s="24">
        <v>2993</v>
      </c>
      <c r="AY253" s="23">
        <v>604</v>
      </c>
      <c r="AZ253" s="24">
        <v>132</v>
      </c>
      <c r="BA253" s="23">
        <v>178</v>
      </c>
      <c r="BB253" s="24">
        <v>7711</v>
      </c>
      <c r="BC253" s="23">
        <v>869</v>
      </c>
      <c r="BD253" s="24">
        <v>6627</v>
      </c>
      <c r="BE253" s="23">
        <v>766</v>
      </c>
      <c r="BF253" s="24">
        <v>1084</v>
      </c>
      <c r="BG253" s="23">
        <v>357</v>
      </c>
      <c r="BH253" s="24">
        <v>2317</v>
      </c>
      <c r="BI253" s="23">
        <v>349</v>
      </c>
      <c r="BJ253" s="24">
        <v>2280</v>
      </c>
      <c r="BK253" s="23">
        <v>350</v>
      </c>
      <c r="BL253" s="24">
        <v>37</v>
      </c>
      <c r="BM253" s="20">
        <v>40</v>
      </c>
      <c r="BN253" s="19">
        <v>15487</v>
      </c>
      <c r="BO253" s="23">
        <v>1150</v>
      </c>
      <c r="BP253" s="24">
        <v>2590</v>
      </c>
      <c r="BQ253" s="23">
        <v>451</v>
      </c>
      <c r="BR253" s="24">
        <v>2562</v>
      </c>
      <c r="BS253" s="23">
        <v>450</v>
      </c>
      <c r="BT253" s="26">
        <v>28</v>
      </c>
      <c r="BU253" s="23">
        <v>33</v>
      </c>
      <c r="BV253" s="24">
        <v>10956</v>
      </c>
      <c r="BW253" s="23">
        <v>827</v>
      </c>
      <c r="BX253" s="24">
        <v>10073</v>
      </c>
      <c r="BY253" s="23">
        <v>785</v>
      </c>
      <c r="BZ253" s="24">
        <v>883</v>
      </c>
      <c r="CA253" s="23">
        <v>441</v>
      </c>
      <c r="CB253" s="24">
        <v>1941</v>
      </c>
      <c r="CC253" s="23">
        <v>311</v>
      </c>
      <c r="CD253" s="24">
        <v>1916</v>
      </c>
      <c r="CE253" s="23">
        <v>309</v>
      </c>
      <c r="CF253" s="24">
        <v>25</v>
      </c>
      <c r="CG253" s="20">
        <v>37</v>
      </c>
    </row>
    <row r="254" spans="1:85" x14ac:dyDescent="0.3">
      <c r="A254" t="s">
        <v>507</v>
      </c>
      <c r="B254">
        <v>21221</v>
      </c>
      <c r="C254" t="s">
        <v>508</v>
      </c>
      <c r="D254" s="19">
        <v>41756</v>
      </c>
      <c r="E254" s="20">
        <v>1295</v>
      </c>
      <c r="F254" s="19">
        <v>8172</v>
      </c>
      <c r="G254" s="23">
        <v>1639</v>
      </c>
      <c r="H254" s="24">
        <v>2870</v>
      </c>
      <c r="I254" s="23">
        <v>892</v>
      </c>
      <c r="J254" s="24">
        <v>2615</v>
      </c>
      <c r="K254" s="23">
        <v>776</v>
      </c>
      <c r="L254" s="24">
        <v>255</v>
      </c>
      <c r="M254" s="23">
        <v>324</v>
      </c>
      <c r="N254" s="24">
        <v>4054</v>
      </c>
      <c r="O254" s="23">
        <v>876</v>
      </c>
      <c r="P254" s="24">
        <v>3272</v>
      </c>
      <c r="Q254" s="23">
        <v>739</v>
      </c>
      <c r="R254" s="24">
        <v>782</v>
      </c>
      <c r="S254" s="23">
        <v>347</v>
      </c>
      <c r="T254" s="24">
        <v>1248</v>
      </c>
      <c r="U254" s="23">
        <v>296</v>
      </c>
      <c r="V254" s="24">
        <v>1248</v>
      </c>
      <c r="W254" s="23">
        <v>296</v>
      </c>
      <c r="X254" s="24">
        <v>0</v>
      </c>
      <c r="Y254" s="20">
        <v>50</v>
      </c>
      <c r="Z254" s="19">
        <v>4955</v>
      </c>
      <c r="AA254" s="23">
        <v>981</v>
      </c>
      <c r="AB254" s="24">
        <v>1521</v>
      </c>
      <c r="AC254" s="23">
        <v>469</v>
      </c>
      <c r="AD254" s="24">
        <v>1487</v>
      </c>
      <c r="AE254" s="23">
        <v>462</v>
      </c>
      <c r="AF254" s="24">
        <v>34</v>
      </c>
      <c r="AG254" s="23">
        <v>41</v>
      </c>
      <c r="AH254" s="24">
        <v>2528</v>
      </c>
      <c r="AI254" s="23">
        <v>529</v>
      </c>
      <c r="AJ254" s="24">
        <v>2046</v>
      </c>
      <c r="AK254" s="23">
        <v>421</v>
      </c>
      <c r="AL254" s="24">
        <v>482</v>
      </c>
      <c r="AM254" s="23">
        <v>261</v>
      </c>
      <c r="AN254" s="24">
        <v>906</v>
      </c>
      <c r="AO254" s="23">
        <v>196</v>
      </c>
      <c r="AP254" s="24">
        <v>906</v>
      </c>
      <c r="AQ254" s="23">
        <v>196</v>
      </c>
      <c r="AR254" s="24">
        <v>0</v>
      </c>
      <c r="AS254" s="20">
        <v>25</v>
      </c>
      <c r="AT254" s="19">
        <v>15188</v>
      </c>
      <c r="AU254" s="23">
        <v>1341</v>
      </c>
      <c r="AV254" s="24">
        <v>3931</v>
      </c>
      <c r="AW254" s="23">
        <v>677</v>
      </c>
      <c r="AX254" s="24">
        <v>3827</v>
      </c>
      <c r="AY254" s="23">
        <v>640</v>
      </c>
      <c r="AZ254" s="24">
        <v>104</v>
      </c>
      <c r="BA254" s="23">
        <v>92</v>
      </c>
      <c r="BB254" s="24">
        <v>8815</v>
      </c>
      <c r="BC254" s="23">
        <v>773</v>
      </c>
      <c r="BD254" s="24">
        <v>7395</v>
      </c>
      <c r="BE254" s="23">
        <v>625</v>
      </c>
      <c r="BF254" s="24">
        <v>1420</v>
      </c>
      <c r="BG254" s="23">
        <v>374</v>
      </c>
      <c r="BH254" s="24">
        <v>2442</v>
      </c>
      <c r="BI254" s="23">
        <v>266</v>
      </c>
      <c r="BJ254" s="24">
        <v>2412</v>
      </c>
      <c r="BK254" s="23">
        <v>267</v>
      </c>
      <c r="BL254" s="24">
        <v>30</v>
      </c>
      <c r="BM254" s="20">
        <v>42</v>
      </c>
      <c r="BN254" s="19">
        <v>13441</v>
      </c>
      <c r="BO254" s="23">
        <v>1143</v>
      </c>
      <c r="BP254" s="24">
        <v>1711</v>
      </c>
      <c r="BQ254" s="23">
        <v>391</v>
      </c>
      <c r="BR254" s="24">
        <v>1701</v>
      </c>
      <c r="BS254" s="23">
        <v>388</v>
      </c>
      <c r="BT254" s="26">
        <v>10</v>
      </c>
      <c r="BU254" s="23">
        <v>13</v>
      </c>
      <c r="BV254" s="24">
        <v>9669</v>
      </c>
      <c r="BW254" s="23">
        <v>813</v>
      </c>
      <c r="BX254" s="24">
        <v>8851</v>
      </c>
      <c r="BY254" s="23">
        <v>754</v>
      </c>
      <c r="BZ254" s="24">
        <v>818</v>
      </c>
      <c r="CA254" s="23">
        <v>273</v>
      </c>
      <c r="CB254" s="24">
        <v>2061</v>
      </c>
      <c r="CC254" s="23">
        <v>245</v>
      </c>
      <c r="CD254" s="24">
        <v>2061</v>
      </c>
      <c r="CE254" s="23">
        <v>245</v>
      </c>
      <c r="CF254" s="24">
        <v>0</v>
      </c>
      <c r="CG254" s="20">
        <v>25</v>
      </c>
    </row>
    <row r="255" spans="1:85" x14ac:dyDescent="0.3">
      <c r="A255" t="s">
        <v>509</v>
      </c>
      <c r="B255">
        <v>21222</v>
      </c>
      <c r="C255" t="s">
        <v>510</v>
      </c>
      <c r="D255" s="19">
        <v>54437</v>
      </c>
      <c r="E255" s="20">
        <v>1355</v>
      </c>
      <c r="F255" s="19">
        <v>12047</v>
      </c>
      <c r="G255" s="23">
        <v>1563</v>
      </c>
      <c r="H255" s="24">
        <v>3861</v>
      </c>
      <c r="I255" s="23">
        <v>933</v>
      </c>
      <c r="J255" s="24">
        <v>3602</v>
      </c>
      <c r="K255" s="23">
        <v>888</v>
      </c>
      <c r="L255" s="24">
        <v>259</v>
      </c>
      <c r="M255" s="23">
        <v>369</v>
      </c>
      <c r="N255" s="24">
        <v>6396</v>
      </c>
      <c r="O255" s="23">
        <v>841</v>
      </c>
      <c r="P255" s="24">
        <v>4994</v>
      </c>
      <c r="Q255" s="23">
        <v>701</v>
      </c>
      <c r="R255" s="24">
        <v>1402</v>
      </c>
      <c r="S255" s="23">
        <v>392</v>
      </c>
      <c r="T255" s="24">
        <v>1790</v>
      </c>
      <c r="U255" s="23">
        <v>427</v>
      </c>
      <c r="V255" s="24">
        <v>1775</v>
      </c>
      <c r="W255" s="23">
        <v>425</v>
      </c>
      <c r="X255" s="24">
        <v>15</v>
      </c>
      <c r="Y255" s="20">
        <v>50</v>
      </c>
      <c r="Z255" s="19">
        <v>8068</v>
      </c>
      <c r="AA255" s="23">
        <v>1264</v>
      </c>
      <c r="AB255" s="24">
        <v>2468</v>
      </c>
      <c r="AC255" s="23">
        <v>709</v>
      </c>
      <c r="AD255" s="24">
        <v>2355</v>
      </c>
      <c r="AE255" s="23">
        <v>708</v>
      </c>
      <c r="AF255" s="24">
        <v>113</v>
      </c>
      <c r="AG255" s="23">
        <v>93</v>
      </c>
      <c r="AH255" s="24">
        <v>4230</v>
      </c>
      <c r="AI255" s="23">
        <v>628</v>
      </c>
      <c r="AJ255" s="24">
        <v>3627</v>
      </c>
      <c r="AK255" s="23">
        <v>586</v>
      </c>
      <c r="AL255" s="24">
        <v>603</v>
      </c>
      <c r="AM255" s="23">
        <v>194</v>
      </c>
      <c r="AN255" s="24">
        <v>1370</v>
      </c>
      <c r="AO255" s="23">
        <v>247</v>
      </c>
      <c r="AP255" s="24">
        <v>1370</v>
      </c>
      <c r="AQ255" s="23">
        <v>247</v>
      </c>
      <c r="AR255" s="24">
        <v>0</v>
      </c>
      <c r="AS255" s="20">
        <v>28</v>
      </c>
      <c r="AT255" s="19">
        <v>19106</v>
      </c>
      <c r="AU255" s="23">
        <v>1486</v>
      </c>
      <c r="AV255" s="24">
        <v>4510</v>
      </c>
      <c r="AW255" s="23">
        <v>572</v>
      </c>
      <c r="AX255" s="24">
        <v>4335</v>
      </c>
      <c r="AY255" s="23">
        <v>575</v>
      </c>
      <c r="AZ255" s="24">
        <v>175</v>
      </c>
      <c r="BA255" s="23">
        <v>97</v>
      </c>
      <c r="BB255" s="24">
        <v>11316</v>
      </c>
      <c r="BC255" s="23">
        <v>967</v>
      </c>
      <c r="BD255" s="24">
        <v>10150</v>
      </c>
      <c r="BE255" s="23">
        <v>919</v>
      </c>
      <c r="BF255" s="24">
        <v>1166</v>
      </c>
      <c r="BG255" s="23">
        <v>249</v>
      </c>
      <c r="BH255" s="24">
        <v>3280</v>
      </c>
      <c r="BI255" s="23">
        <v>312</v>
      </c>
      <c r="BJ255" s="24">
        <v>3280</v>
      </c>
      <c r="BK255" s="23">
        <v>312</v>
      </c>
      <c r="BL255" s="24">
        <v>0</v>
      </c>
      <c r="BM255" s="20">
        <v>28</v>
      </c>
      <c r="BN255" s="19">
        <v>15216</v>
      </c>
      <c r="BO255" s="23">
        <v>1148</v>
      </c>
      <c r="BP255" s="24">
        <v>2092</v>
      </c>
      <c r="BQ255" s="23">
        <v>377</v>
      </c>
      <c r="BR255" s="24">
        <v>2017</v>
      </c>
      <c r="BS255" s="23">
        <v>354</v>
      </c>
      <c r="BT255" s="26">
        <v>75</v>
      </c>
      <c r="BU255" s="23">
        <v>79</v>
      </c>
      <c r="BV255" s="24">
        <v>10739</v>
      </c>
      <c r="BW255" s="23">
        <v>767</v>
      </c>
      <c r="BX255" s="24">
        <v>10103</v>
      </c>
      <c r="BY255" s="23">
        <v>701</v>
      </c>
      <c r="BZ255" s="24">
        <v>636</v>
      </c>
      <c r="CA255" s="23">
        <v>234</v>
      </c>
      <c r="CB255" s="24">
        <v>2385</v>
      </c>
      <c r="CC255" s="23">
        <v>295</v>
      </c>
      <c r="CD255" s="24">
        <v>2385</v>
      </c>
      <c r="CE255" s="23">
        <v>295</v>
      </c>
      <c r="CF255" s="24">
        <v>0</v>
      </c>
      <c r="CG255" s="20">
        <v>28</v>
      </c>
    </row>
    <row r="256" spans="1:85" x14ac:dyDescent="0.3">
      <c r="A256" t="s">
        <v>511</v>
      </c>
      <c r="B256">
        <v>21223</v>
      </c>
      <c r="C256" t="s">
        <v>512</v>
      </c>
      <c r="D256" s="19">
        <v>23523</v>
      </c>
      <c r="E256" s="20">
        <v>1410</v>
      </c>
      <c r="F256" s="19">
        <v>11622</v>
      </c>
      <c r="G256" s="23">
        <v>1656</v>
      </c>
      <c r="H256" s="24">
        <v>3927</v>
      </c>
      <c r="I256" s="23">
        <v>906</v>
      </c>
      <c r="J256" s="24">
        <v>3711</v>
      </c>
      <c r="K256" s="23">
        <v>873</v>
      </c>
      <c r="L256" s="24">
        <v>216</v>
      </c>
      <c r="M256" s="23">
        <v>187</v>
      </c>
      <c r="N256" s="24">
        <v>6539</v>
      </c>
      <c r="O256" s="23">
        <v>912</v>
      </c>
      <c r="P256" s="24">
        <v>5710</v>
      </c>
      <c r="Q256" s="23">
        <v>851</v>
      </c>
      <c r="R256" s="24">
        <v>829</v>
      </c>
      <c r="S256" s="23">
        <v>275</v>
      </c>
      <c r="T256" s="24">
        <v>1156</v>
      </c>
      <c r="U256" s="23">
        <v>240</v>
      </c>
      <c r="V256" s="24">
        <v>1156</v>
      </c>
      <c r="W256" s="23">
        <v>240</v>
      </c>
      <c r="X256" s="24">
        <v>0</v>
      </c>
      <c r="Y256" s="20">
        <v>44</v>
      </c>
      <c r="Z256" s="19">
        <v>3550</v>
      </c>
      <c r="AA256" s="23">
        <v>740</v>
      </c>
      <c r="AB256" s="24">
        <v>1311</v>
      </c>
      <c r="AC256" s="23">
        <v>399</v>
      </c>
      <c r="AD256" s="24">
        <v>1311</v>
      </c>
      <c r="AE256" s="23">
        <v>399</v>
      </c>
      <c r="AF256" s="24">
        <v>0</v>
      </c>
      <c r="AG256" s="23">
        <v>22</v>
      </c>
      <c r="AH256" s="24">
        <v>1852</v>
      </c>
      <c r="AI256" s="23">
        <v>394</v>
      </c>
      <c r="AJ256" s="24">
        <v>1458</v>
      </c>
      <c r="AK256" s="23">
        <v>289</v>
      </c>
      <c r="AL256" s="24">
        <v>394</v>
      </c>
      <c r="AM256" s="23">
        <v>178</v>
      </c>
      <c r="AN256" s="24">
        <v>387</v>
      </c>
      <c r="AO256" s="23">
        <v>104</v>
      </c>
      <c r="AP256" s="24">
        <v>387</v>
      </c>
      <c r="AQ256" s="23">
        <v>104</v>
      </c>
      <c r="AR256" s="24">
        <v>0</v>
      </c>
      <c r="AS256" s="20">
        <v>22</v>
      </c>
      <c r="AT256" s="19">
        <v>5682</v>
      </c>
      <c r="AU256" s="23">
        <v>788</v>
      </c>
      <c r="AV256" s="24">
        <v>1075</v>
      </c>
      <c r="AW256" s="23">
        <v>345</v>
      </c>
      <c r="AX256" s="24">
        <v>1047</v>
      </c>
      <c r="AY256" s="23">
        <v>339</v>
      </c>
      <c r="AZ256" s="24">
        <v>28</v>
      </c>
      <c r="BA256" s="23">
        <v>44</v>
      </c>
      <c r="BB256" s="24">
        <v>3924</v>
      </c>
      <c r="BC256" s="23">
        <v>534</v>
      </c>
      <c r="BD256" s="24">
        <v>3236</v>
      </c>
      <c r="BE256" s="23">
        <v>417</v>
      </c>
      <c r="BF256" s="24">
        <v>688</v>
      </c>
      <c r="BG256" s="23">
        <v>263</v>
      </c>
      <c r="BH256" s="24">
        <v>683</v>
      </c>
      <c r="BI256" s="23">
        <v>189</v>
      </c>
      <c r="BJ256" s="24">
        <v>670</v>
      </c>
      <c r="BK256" s="23">
        <v>191</v>
      </c>
      <c r="BL256" s="24">
        <v>13</v>
      </c>
      <c r="BM256" s="20">
        <v>15</v>
      </c>
      <c r="BN256" s="19">
        <v>2669</v>
      </c>
      <c r="BO256" s="23">
        <v>530</v>
      </c>
      <c r="BP256" s="24">
        <v>332</v>
      </c>
      <c r="BQ256" s="23">
        <v>157</v>
      </c>
      <c r="BR256" s="24">
        <v>332</v>
      </c>
      <c r="BS256" s="23">
        <v>157</v>
      </c>
      <c r="BT256" s="26">
        <v>0</v>
      </c>
      <c r="BU256" s="23">
        <v>22</v>
      </c>
      <c r="BV256" s="24">
        <v>2008</v>
      </c>
      <c r="BW256" s="23">
        <v>413</v>
      </c>
      <c r="BX256" s="24">
        <v>1741</v>
      </c>
      <c r="BY256" s="23">
        <v>356</v>
      </c>
      <c r="BZ256" s="24">
        <v>267</v>
      </c>
      <c r="CA256" s="23">
        <v>121</v>
      </c>
      <c r="CB256" s="24">
        <v>329</v>
      </c>
      <c r="CC256" s="23">
        <v>100</v>
      </c>
      <c r="CD256" s="24">
        <v>311</v>
      </c>
      <c r="CE256" s="23">
        <v>95</v>
      </c>
      <c r="CF256" s="24">
        <v>18</v>
      </c>
      <c r="CG256" s="20">
        <v>20</v>
      </c>
    </row>
    <row r="257" spans="1:85" x14ac:dyDescent="0.3">
      <c r="A257" t="s">
        <v>513</v>
      </c>
      <c r="B257">
        <v>21224</v>
      </c>
      <c r="C257" t="s">
        <v>514</v>
      </c>
      <c r="D257" s="19">
        <v>50322</v>
      </c>
      <c r="E257" s="20">
        <v>1692</v>
      </c>
      <c r="F257" s="19">
        <v>12654</v>
      </c>
      <c r="G257" s="23">
        <v>1839</v>
      </c>
      <c r="H257" s="24">
        <v>4676</v>
      </c>
      <c r="I257" s="23">
        <v>1106</v>
      </c>
      <c r="J257" s="24">
        <v>3901</v>
      </c>
      <c r="K257" s="23">
        <v>960</v>
      </c>
      <c r="L257" s="24">
        <v>775</v>
      </c>
      <c r="M257" s="23">
        <v>539</v>
      </c>
      <c r="N257" s="24">
        <v>6830</v>
      </c>
      <c r="O257" s="23">
        <v>989</v>
      </c>
      <c r="P257" s="24">
        <v>4617</v>
      </c>
      <c r="Q257" s="23">
        <v>758</v>
      </c>
      <c r="R257" s="24">
        <v>2213</v>
      </c>
      <c r="S257" s="23">
        <v>562</v>
      </c>
      <c r="T257" s="24">
        <v>1148</v>
      </c>
      <c r="U257" s="23">
        <v>253</v>
      </c>
      <c r="V257" s="24">
        <v>1142</v>
      </c>
      <c r="W257" s="23">
        <v>254</v>
      </c>
      <c r="X257" s="24">
        <v>6</v>
      </c>
      <c r="Y257" s="20">
        <v>39</v>
      </c>
      <c r="Z257" s="19">
        <v>5426</v>
      </c>
      <c r="AA257" s="23">
        <v>873</v>
      </c>
      <c r="AB257" s="24">
        <v>1527</v>
      </c>
      <c r="AC257" s="23">
        <v>407</v>
      </c>
      <c r="AD257" s="24">
        <v>1467</v>
      </c>
      <c r="AE257" s="23">
        <v>399</v>
      </c>
      <c r="AF257" s="24">
        <v>60</v>
      </c>
      <c r="AG257" s="23">
        <v>72</v>
      </c>
      <c r="AH257" s="24">
        <v>3233</v>
      </c>
      <c r="AI257" s="23">
        <v>534</v>
      </c>
      <c r="AJ257" s="24">
        <v>2170</v>
      </c>
      <c r="AK257" s="23">
        <v>422</v>
      </c>
      <c r="AL257" s="24">
        <v>1063</v>
      </c>
      <c r="AM257" s="23">
        <v>293</v>
      </c>
      <c r="AN257" s="24">
        <v>666</v>
      </c>
      <c r="AO257" s="23">
        <v>155</v>
      </c>
      <c r="AP257" s="24">
        <v>666</v>
      </c>
      <c r="AQ257" s="23">
        <v>155</v>
      </c>
      <c r="AR257" s="24">
        <v>0</v>
      </c>
      <c r="AS257" s="20">
        <v>28</v>
      </c>
      <c r="AT257" s="19">
        <v>13811</v>
      </c>
      <c r="AU257" s="23">
        <v>1234</v>
      </c>
      <c r="AV257" s="24">
        <v>2611</v>
      </c>
      <c r="AW257" s="23">
        <v>492</v>
      </c>
      <c r="AX257" s="24">
        <v>2210</v>
      </c>
      <c r="AY257" s="23">
        <v>421</v>
      </c>
      <c r="AZ257" s="24">
        <v>401</v>
      </c>
      <c r="BA257" s="23">
        <v>238</v>
      </c>
      <c r="BB257" s="24">
        <v>9337</v>
      </c>
      <c r="BC257" s="23">
        <v>861</v>
      </c>
      <c r="BD257" s="24">
        <v>7353</v>
      </c>
      <c r="BE257" s="23">
        <v>757</v>
      </c>
      <c r="BF257" s="24">
        <v>1984</v>
      </c>
      <c r="BG257" s="23">
        <v>437</v>
      </c>
      <c r="BH257" s="24">
        <v>1863</v>
      </c>
      <c r="BI257" s="23">
        <v>227</v>
      </c>
      <c r="BJ257" s="24">
        <v>1863</v>
      </c>
      <c r="BK257" s="23">
        <v>227</v>
      </c>
      <c r="BL257" s="24">
        <v>0</v>
      </c>
      <c r="BM257" s="20">
        <v>28</v>
      </c>
      <c r="BN257" s="19">
        <v>18431</v>
      </c>
      <c r="BO257" s="23">
        <v>1066</v>
      </c>
      <c r="BP257" s="24">
        <v>1808</v>
      </c>
      <c r="BQ257" s="23">
        <v>306</v>
      </c>
      <c r="BR257" s="24">
        <v>1713</v>
      </c>
      <c r="BS257" s="23">
        <v>298</v>
      </c>
      <c r="BT257" s="26">
        <v>95</v>
      </c>
      <c r="BU257" s="23">
        <v>70</v>
      </c>
      <c r="BV257" s="24">
        <v>15467</v>
      </c>
      <c r="BW257" s="23">
        <v>880</v>
      </c>
      <c r="BX257" s="24">
        <v>14541</v>
      </c>
      <c r="BY257" s="23">
        <v>819</v>
      </c>
      <c r="BZ257" s="24">
        <v>926</v>
      </c>
      <c r="CA257" s="23">
        <v>325</v>
      </c>
      <c r="CB257" s="24">
        <v>1156</v>
      </c>
      <c r="CC257" s="23">
        <v>228</v>
      </c>
      <c r="CD257" s="24">
        <v>1156</v>
      </c>
      <c r="CE257" s="23">
        <v>228</v>
      </c>
      <c r="CF257" s="24">
        <v>0</v>
      </c>
      <c r="CG257" s="20">
        <v>28</v>
      </c>
    </row>
    <row r="258" spans="1:85" x14ac:dyDescent="0.3">
      <c r="A258" t="s">
        <v>515</v>
      </c>
      <c r="B258">
        <v>21225</v>
      </c>
      <c r="C258" t="s">
        <v>516</v>
      </c>
      <c r="D258" s="19">
        <v>32786</v>
      </c>
      <c r="E258" s="20">
        <v>1448</v>
      </c>
      <c r="F258" s="19">
        <v>11196</v>
      </c>
      <c r="G258" s="23">
        <v>1587</v>
      </c>
      <c r="H258" s="24">
        <v>4383</v>
      </c>
      <c r="I258" s="23">
        <v>994</v>
      </c>
      <c r="J258" s="24">
        <v>4273</v>
      </c>
      <c r="K258" s="23">
        <v>985</v>
      </c>
      <c r="L258" s="24">
        <v>110</v>
      </c>
      <c r="M258" s="23">
        <v>111</v>
      </c>
      <c r="N258" s="24">
        <v>6030</v>
      </c>
      <c r="O258" s="23">
        <v>908</v>
      </c>
      <c r="P258" s="24">
        <v>4929</v>
      </c>
      <c r="Q258" s="23">
        <v>779</v>
      </c>
      <c r="R258" s="24">
        <v>1101</v>
      </c>
      <c r="S258" s="23">
        <v>352</v>
      </c>
      <c r="T258" s="24">
        <v>783</v>
      </c>
      <c r="U258" s="23">
        <v>245</v>
      </c>
      <c r="V258" s="24">
        <v>747</v>
      </c>
      <c r="W258" s="23">
        <v>233</v>
      </c>
      <c r="X258" s="24">
        <v>36</v>
      </c>
      <c r="Y258" s="20">
        <v>47</v>
      </c>
      <c r="Z258" s="19">
        <v>4353</v>
      </c>
      <c r="AA258" s="23">
        <v>839</v>
      </c>
      <c r="AB258" s="24">
        <v>1459</v>
      </c>
      <c r="AC258" s="23">
        <v>443</v>
      </c>
      <c r="AD258" s="24">
        <v>1305</v>
      </c>
      <c r="AE258" s="23">
        <v>418</v>
      </c>
      <c r="AF258" s="24">
        <v>154</v>
      </c>
      <c r="AG258" s="23">
        <v>110</v>
      </c>
      <c r="AH258" s="24">
        <v>2319</v>
      </c>
      <c r="AI258" s="23">
        <v>466</v>
      </c>
      <c r="AJ258" s="24">
        <v>1680</v>
      </c>
      <c r="AK258" s="23">
        <v>341</v>
      </c>
      <c r="AL258" s="24">
        <v>639</v>
      </c>
      <c r="AM258" s="23">
        <v>280</v>
      </c>
      <c r="AN258" s="24">
        <v>575</v>
      </c>
      <c r="AO258" s="23">
        <v>122</v>
      </c>
      <c r="AP258" s="24">
        <v>575</v>
      </c>
      <c r="AQ258" s="23">
        <v>122</v>
      </c>
      <c r="AR258" s="24">
        <v>0</v>
      </c>
      <c r="AS258" s="20">
        <v>25</v>
      </c>
      <c r="AT258" s="19">
        <v>9060</v>
      </c>
      <c r="AU258" s="23">
        <v>900</v>
      </c>
      <c r="AV258" s="24">
        <v>2052</v>
      </c>
      <c r="AW258" s="23">
        <v>392</v>
      </c>
      <c r="AX258" s="24">
        <v>1952</v>
      </c>
      <c r="AY258" s="23">
        <v>403</v>
      </c>
      <c r="AZ258" s="24">
        <v>100</v>
      </c>
      <c r="BA258" s="23">
        <v>64</v>
      </c>
      <c r="BB258" s="24">
        <v>5920</v>
      </c>
      <c r="BC258" s="23">
        <v>614</v>
      </c>
      <c r="BD258" s="24">
        <v>5223</v>
      </c>
      <c r="BE258" s="23">
        <v>581</v>
      </c>
      <c r="BF258" s="24">
        <v>697</v>
      </c>
      <c r="BG258" s="23">
        <v>195</v>
      </c>
      <c r="BH258" s="24">
        <v>1088</v>
      </c>
      <c r="BI258" s="23">
        <v>162</v>
      </c>
      <c r="BJ258" s="24">
        <v>1074</v>
      </c>
      <c r="BK258" s="23">
        <v>162</v>
      </c>
      <c r="BL258" s="24">
        <v>14</v>
      </c>
      <c r="BM258" s="20">
        <v>23</v>
      </c>
      <c r="BN258" s="19">
        <v>8177</v>
      </c>
      <c r="BO258" s="23">
        <v>1045</v>
      </c>
      <c r="BP258" s="24">
        <v>1231</v>
      </c>
      <c r="BQ258" s="23">
        <v>436</v>
      </c>
      <c r="BR258" s="24">
        <v>1158</v>
      </c>
      <c r="BS258" s="23">
        <v>429</v>
      </c>
      <c r="BT258" s="26">
        <v>73</v>
      </c>
      <c r="BU258" s="23">
        <v>61</v>
      </c>
      <c r="BV258" s="24">
        <v>5948</v>
      </c>
      <c r="BW258" s="23">
        <v>699</v>
      </c>
      <c r="BX258" s="24">
        <v>5555</v>
      </c>
      <c r="BY258" s="23">
        <v>685</v>
      </c>
      <c r="BZ258" s="24">
        <v>393</v>
      </c>
      <c r="CA258" s="23">
        <v>180</v>
      </c>
      <c r="CB258" s="24">
        <v>998</v>
      </c>
      <c r="CC258" s="23">
        <v>186</v>
      </c>
      <c r="CD258" s="24">
        <v>998</v>
      </c>
      <c r="CE258" s="23">
        <v>186</v>
      </c>
      <c r="CF258" s="24">
        <v>0</v>
      </c>
      <c r="CG258" s="20">
        <v>25</v>
      </c>
    </row>
    <row r="259" spans="1:85" x14ac:dyDescent="0.3">
      <c r="A259" t="s">
        <v>517</v>
      </c>
      <c r="B259">
        <v>21226</v>
      </c>
      <c r="C259" t="s">
        <v>518</v>
      </c>
      <c r="D259" s="19">
        <v>7651</v>
      </c>
      <c r="E259" s="20">
        <v>1159</v>
      </c>
      <c r="F259" s="19">
        <v>1404</v>
      </c>
      <c r="G259" s="23">
        <v>988</v>
      </c>
      <c r="H259" s="24">
        <v>760</v>
      </c>
      <c r="I259" s="23">
        <v>701</v>
      </c>
      <c r="J259" s="24">
        <v>745</v>
      </c>
      <c r="K259" s="23">
        <v>689</v>
      </c>
      <c r="L259" s="24">
        <v>15</v>
      </c>
      <c r="M259" s="23">
        <v>45</v>
      </c>
      <c r="N259" s="24">
        <v>545</v>
      </c>
      <c r="O259" s="23">
        <v>344</v>
      </c>
      <c r="P259" s="24">
        <v>482</v>
      </c>
      <c r="Q259" s="23">
        <v>296</v>
      </c>
      <c r="R259" s="24">
        <v>63</v>
      </c>
      <c r="S259" s="23">
        <v>84</v>
      </c>
      <c r="T259" s="24">
        <v>99</v>
      </c>
      <c r="U259" s="23">
        <v>104</v>
      </c>
      <c r="V259" s="24">
        <v>99</v>
      </c>
      <c r="W259" s="23">
        <v>104</v>
      </c>
      <c r="X259" s="24">
        <v>0</v>
      </c>
      <c r="Y259" s="20">
        <v>34</v>
      </c>
      <c r="Z259" s="19">
        <v>584</v>
      </c>
      <c r="AA259" s="23">
        <v>416</v>
      </c>
      <c r="AB259" s="24">
        <v>69</v>
      </c>
      <c r="AC259" s="23">
        <v>74</v>
      </c>
      <c r="AD259" s="24">
        <v>69</v>
      </c>
      <c r="AE259" s="23">
        <v>74</v>
      </c>
      <c r="AF259" s="24">
        <v>0</v>
      </c>
      <c r="AG259" s="23">
        <v>17</v>
      </c>
      <c r="AH259" s="24">
        <v>440</v>
      </c>
      <c r="AI259" s="23">
        <v>361</v>
      </c>
      <c r="AJ259" s="24">
        <v>382</v>
      </c>
      <c r="AK259" s="23">
        <v>346</v>
      </c>
      <c r="AL259" s="24">
        <v>58</v>
      </c>
      <c r="AM259" s="23">
        <v>62</v>
      </c>
      <c r="AN259" s="24">
        <v>75</v>
      </c>
      <c r="AO259" s="23">
        <v>84</v>
      </c>
      <c r="AP259" s="24">
        <v>75</v>
      </c>
      <c r="AQ259" s="23">
        <v>84</v>
      </c>
      <c r="AR259" s="24">
        <v>0</v>
      </c>
      <c r="AS259" s="20">
        <v>17</v>
      </c>
      <c r="AT259" s="19">
        <v>2302</v>
      </c>
      <c r="AU259" s="23">
        <v>814</v>
      </c>
      <c r="AV259" s="24">
        <v>643</v>
      </c>
      <c r="AW259" s="23">
        <v>335</v>
      </c>
      <c r="AX259" s="24">
        <v>643</v>
      </c>
      <c r="AY259" s="23">
        <v>335</v>
      </c>
      <c r="AZ259" s="24">
        <v>0</v>
      </c>
      <c r="BA259" s="23">
        <v>17</v>
      </c>
      <c r="BB259" s="24">
        <v>1287</v>
      </c>
      <c r="BC259" s="23">
        <v>509</v>
      </c>
      <c r="BD259" s="24">
        <v>1190</v>
      </c>
      <c r="BE259" s="23">
        <v>491</v>
      </c>
      <c r="BF259" s="24">
        <v>97</v>
      </c>
      <c r="BG259" s="23">
        <v>106</v>
      </c>
      <c r="BH259" s="24">
        <v>372</v>
      </c>
      <c r="BI259" s="23">
        <v>166</v>
      </c>
      <c r="BJ259" s="24">
        <v>372</v>
      </c>
      <c r="BK259" s="23">
        <v>166</v>
      </c>
      <c r="BL259" s="24">
        <v>0</v>
      </c>
      <c r="BM259" s="20">
        <v>17</v>
      </c>
      <c r="BN259" s="19">
        <v>3361</v>
      </c>
      <c r="BO259" s="23">
        <v>806</v>
      </c>
      <c r="BP259" s="24">
        <v>768</v>
      </c>
      <c r="BQ259" s="23">
        <v>297</v>
      </c>
      <c r="BR259" s="24">
        <v>768</v>
      </c>
      <c r="BS259" s="23">
        <v>297</v>
      </c>
      <c r="BT259" s="26">
        <v>0</v>
      </c>
      <c r="BU259" s="23">
        <v>17</v>
      </c>
      <c r="BV259" s="24">
        <v>2361</v>
      </c>
      <c r="BW259" s="23">
        <v>556</v>
      </c>
      <c r="BX259" s="24">
        <v>2338</v>
      </c>
      <c r="BY259" s="23">
        <v>560</v>
      </c>
      <c r="BZ259" s="24">
        <v>23</v>
      </c>
      <c r="CA259" s="23">
        <v>37</v>
      </c>
      <c r="CB259" s="24">
        <v>232</v>
      </c>
      <c r="CC259" s="23">
        <v>132</v>
      </c>
      <c r="CD259" s="24">
        <v>232</v>
      </c>
      <c r="CE259" s="23">
        <v>132</v>
      </c>
      <c r="CF259" s="24">
        <v>0</v>
      </c>
      <c r="CG259" s="20">
        <v>17</v>
      </c>
    </row>
    <row r="260" spans="1:85" x14ac:dyDescent="0.3">
      <c r="A260" t="s">
        <v>519</v>
      </c>
      <c r="B260">
        <v>21227</v>
      </c>
      <c r="C260" t="s">
        <v>520</v>
      </c>
      <c r="D260" s="19">
        <v>33520</v>
      </c>
      <c r="E260" s="20">
        <v>1237</v>
      </c>
      <c r="F260" s="19">
        <v>7419</v>
      </c>
      <c r="G260" s="23">
        <v>1375</v>
      </c>
      <c r="H260" s="24">
        <v>2576</v>
      </c>
      <c r="I260" s="23">
        <v>742</v>
      </c>
      <c r="J260" s="24">
        <v>2441</v>
      </c>
      <c r="K260" s="23">
        <v>718</v>
      </c>
      <c r="L260" s="24">
        <v>135</v>
      </c>
      <c r="M260" s="23">
        <v>160</v>
      </c>
      <c r="N260" s="24">
        <v>4083</v>
      </c>
      <c r="O260" s="23">
        <v>808</v>
      </c>
      <c r="P260" s="24">
        <v>3306</v>
      </c>
      <c r="Q260" s="23">
        <v>747</v>
      </c>
      <c r="R260" s="24">
        <v>777</v>
      </c>
      <c r="S260" s="23">
        <v>295</v>
      </c>
      <c r="T260" s="24">
        <v>760</v>
      </c>
      <c r="U260" s="23">
        <v>271</v>
      </c>
      <c r="V260" s="24">
        <v>760</v>
      </c>
      <c r="W260" s="23">
        <v>271</v>
      </c>
      <c r="X260" s="24">
        <v>0</v>
      </c>
      <c r="Y260" s="20">
        <v>50</v>
      </c>
      <c r="Z260" s="19">
        <v>3604</v>
      </c>
      <c r="AA260" s="23">
        <v>657</v>
      </c>
      <c r="AB260" s="24">
        <v>1159</v>
      </c>
      <c r="AC260" s="23">
        <v>347</v>
      </c>
      <c r="AD260" s="24">
        <v>1036</v>
      </c>
      <c r="AE260" s="23">
        <v>335</v>
      </c>
      <c r="AF260" s="24">
        <v>123</v>
      </c>
      <c r="AG260" s="23">
        <v>122</v>
      </c>
      <c r="AH260" s="24">
        <v>1894</v>
      </c>
      <c r="AI260" s="23">
        <v>338</v>
      </c>
      <c r="AJ260" s="24">
        <v>1369</v>
      </c>
      <c r="AK260" s="23">
        <v>296</v>
      </c>
      <c r="AL260" s="24">
        <v>525</v>
      </c>
      <c r="AM260" s="23">
        <v>204</v>
      </c>
      <c r="AN260" s="24">
        <v>551</v>
      </c>
      <c r="AO260" s="23">
        <v>129</v>
      </c>
      <c r="AP260" s="24">
        <v>551</v>
      </c>
      <c r="AQ260" s="23">
        <v>129</v>
      </c>
      <c r="AR260" s="24">
        <v>0</v>
      </c>
      <c r="AS260" s="20">
        <v>25</v>
      </c>
      <c r="AT260" s="19">
        <v>10719</v>
      </c>
      <c r="AU260" s="23">
        <v>1048</v>
      </c>
      <c r="AV260" s="24">
        <v>2834</v>
      </c>
      <c r="AW260" s="23">
        <v>466</v>
      </c>
      <c r="AX260" s="24">
        <v>2826</v>
      </c>
      <c r="AY260" s="23">
        <v>467</v>
      </c>
      <c r="AZ260" s="24">
        <v>8</v>
      </c>
      <c r="BA260" s="23">
        <v>13</v>
      </c>
      <c r="BB260" s="24">
        <v>6504</v>
      </c>
      <c r="BC260" s="23">
        <v>700</v>
      </c>
      <c r="BD260" s="24">
        <v>5553</v>
      </c>
      <c r="BE260" s="23">
        <v>631</v>
      </c>
      <c r="BF260" s="24">
        <v>951</v>
      </c>
      <c r="BG260" s="23">
        <v>276</v>
      </c>
      <c r="BH260" s="24">
        <v>1381</v>
      </c>
      <c r="BI260" s="23">
        <v>223</v>
      </c>
      <c r="BJ260" s="24">
        <v>1381</v>
      </c>
      <c r="BK260" s="23">
        <v>223</v>
      </c>
      <c r="BL260" s="24">
        <v>0</v>
      </c>
      <c r="BM260" s="20">
        <v>25</v>
      </c>
      <c r="BN260" s="19">
        <v>11778</v>
      </c>
      <c r="BO260" s="23">
        <v>1119</v>
      </c>
      <c r="BP260" s="24">
        <v>1630</v>
      </c>
      <c r="BQ260" s="23">
        <v>252</v>
      </c>
      <c r="BR260" s="24">
        <v>1603</v>
      </c>
      <c r="BS260" s="23">
        <v>250</v>
      </c>
      <c r="BT260" s="26">
        <v>27</v>
      </c>
      <c r="BU260" s="23">
        <v>30</v>
      </c>
      <c r="BV260" s="24">
        <v>8769</v>
      </c>
      <c r="BW260" s="23">
        <v>871</v>
      </c>
      <c r="BX260" s="24">
        <v>8341</v>
      </c>
      <c r="BY260" s="23">
        <v>833</v>
      </c>
      <c r="BZ260" s="24">
        <v>428</v>
      </c>
      <c r="CA260" s="23">
        <v>236</v>
      </c>
      <c r="CB260" s="24">
        <v>1379</v>
      </c>
      <c r="CC260" s="23">
        <v>231</v>
      </c>
      <c r="CD260" s="24">
        <v>1379</v>
      </c>
      <c r="CE260" s="23">
        <v>231</v>
      </c>
      <c r="CF260" s="24">
        <v>0</v>
      </c>
      <c r="CG260" s="20">
        <v>25</v>
      </c>
    </row>
    <row r="261" spans="1:85" x14ac:dyDescent="0.3">
      <c r="A261" t="s">
        <v>521</v>
      </c>
      <c r="B261">
        <v>21228</v>
      </c>
      <c r="C261" t="s">
        <v>522</v>
      </c>
      <c r="D261" s="19">
        <v>46446</v>
      </c>
      <c r="E261" s="20">
        <v>1339</v>
      </c>
      <c r="F261" s="19">
        <v>4836</v>
      </c>
      <c r="G261" s="23">
        <v>1102</v>
      </c>
      <c r="H261" s="24">
        <v>1138</v>
      </c>
      <c r="I261" s="23">
        <v>476</v>
      </c>
      <c r="J261" s="24">
        <v>1033</v>
      </c>
      <c r="K261" s="23">
        <v>423</v>
      </c>
      <c r="L261" s="24">
        <v>105</v>
      </c>
      <c r="M261" s="23">
        <v>148</v>
      </c>
      <c r="N261" s="24">
        <v>2718</v>
      </c>
      <c r="O261" s="23">
        <v>704</v>
      </c>
      <c r="P261" s="24">
        <v>2143</v>
      </c>
      <c r="Q261" s="23">
        <v>570</v>
      </c>
      <c r="R261" s="24">
        <v>575</v>
      </c>
      <c r="S261" s="23">
        <v>366</v>
      </c>
      <c r="T261" s="24">
        <v>980</v>
      </c>
      <c r="U261" s="23">
        <v>296</v>
      </c>
      <c r="V261" s="24">
        <v>944</v>
      </c>
      <c r="W261" s="23">
        <v>289</v>
      </c>
      <c r="X261" s="24">
        <v>36</v>
      </c>
      <c r="Y261" s="20">
        <v>69</v>
      </c>
      <c r="Z261" s="19">
        <v>3235</v>
      </c>
      <c r="AA261" s="23">
        <v>883</v>
      </c>
      <c r="AB261" s="24">
        <v>850</v>
      </c>
      <c r="AC261" s="23">
        <v>361</v>
      </c>
      <c r="AD261" s="24">
        <v>850</v>
      </c>
      <c r="AE261" s="23">
        <v>361</v>
      </c>
      <c r="AF261" s="24">
        <v>0</v>
      </c>
      <c r="AG261" s="23">
        <v>25</v>
      </c>
      <c r="AH261" s="24">
        <v>1658</v>
      </c>
      <c r="AI261" s="23">
        <v>541</v>
      </c>
      <c r="AJ261" s="24">
        <v>1255</v>
      </c>
      <c r="AK261" s="23">
        <v>344</v>
      </c>
      <c r="AL261" s="24">
        <v>403</v>
      </c>
      <c r="AM261" s="23">
        <v>304</v>
      </c>
      <c r="AN261" s="24">
        <v>727</v>
      </c>
      <c r="AO261" s="23">
        <v>180</v>
      </c>
      <c r="AP261" s="24">
        <v>713</v>
      </c>
      <c r="AQ261" s="23">
        <v>175</v>
      </c>
      <c r="AR261" s="24">
        <v>14</v>
      </c>
      <c r="AS261" s="20">
        <v>23</v>
      </c>
      <c r="AT261" s="19">
        <v>12451</v>
      </c>
      <c r="AU261" s="23">
        <v>1194</v>
      </c>
      <c r="AV261" s="24">
        <v>2765</v>
      </c>
      <c r="AW261" s="23">
        <v>483</v>
      </c>
      <c r="AX261" s="24">
        <v>2658</v>
      </c>
      <c r="AY261" s="23">
        <v>460</v>
      </c>
      <c r="AZ261" s="24">
        <v>107</v>
      </c>
      <c r="BA261" s="23">
        <v>86</v>
      </c>
      <c r="BB261" s="24">
        <v>7204</v>
      </c>
      <c r="BC261" s="23">
        <v>780</v>
      </c>
      <c r="BD261" s="24">
        <v>6283</v>
      </c>
      <c r="BE261" s="23">
        <v>694</v>
      </c>
      <c r="BF261" s="24">
        <v>921</v>
      </c>
      <c r="BG261" s="23">
        <v>275</v>
      </c>
      <c r="BH261" s="24">
        <v>2482</v>
      </c>
      <c r="BI261" s="23">
        <v>344</v>
      </c>
      <c r="BJ261" s="24">
        <v>2422</v>
      </c>
      <c r="BK261" s="23">
        <v>338</v>
      </c>
      <c r="BL261" s="24">
        <v>60</v>
      </c>
      <c r="BM261" s="20">
        <v>84</v>
      </c>
      <c r="BN261" s="19">
        <v>25924</v>
      </c>
      <c r="BO261" s="23">
        <v>1357</v>
      </c>
      <c r="BP261" s="24">
        <v>4574</v>
      </c>
      <c r="BQ261" s="23">
        <v>515</v>
      </c>
      <c r="BR261" s="24">
        <v>4526</v>
      </c>
      <c r="BS261" s="23">
        <v>506</v>
      </c>
      <c r="BT261" s="26">
        <v>48</v>
      </c>
      <c r="BU261" s="23">
        <v>50</v>
      </c>
      <c r="BV261" s="24">
        <v>17427</v>
      </c>
      <c r="BW261" s="23">
        <v>1019</v>
      </c>
      <c r="BX261" s="24">
        <v>16789</v>
      </c>
      <c r="BY261" s="23">
        <v>979</v>
      </c>
      <c r="BZ261" s="24">
        <v>638</v>
      </c>
      <c r="CA261" s="23">
        <v>248</v>
      </c>
      <c r="CB261" s="24">
        <v>3923</v>
      </c>
      <c r="CC261" s="23">
        <v>395</v>
      </c>
      <c r="CD261" s="24">
        <v>3901</v>
      </c>
      <c r="CE261" s="23">
        <v>393</v>
      </c>
      <c r="CF261" s="24">
        <v>22</v>
      </c>
      <c r="CG261" s="20">
        <v>32</v>
      </c>
    </row>
    <row r="262" spans="1:85" x14ac:dyDescent="0.3">
      <c r="A262" t="s">
        <v>523</v>
      </c>
      <c r="B262">
        <v>21229</v>
      </c>
      <c r="C262" t="s">
        <v>524</v>
      </c>
      <c r="D262" s="19">
        <v>47534</v>
      </c>
      <c r="E262" s="20">
        <v>1483</v>
      </c>
      <c r="F262" s="19">
        <v>12358</v>
      </c>
      <c r="G262" s="23">
        <v>2360</v>
      </c>
      <c r="H262" s="24">
        <v>4399</v>
      </c>
      <c r="I262" s="23">
        <v>1267</v>
      </c>
      <c r="J262" s="24">
        <v>4312</v>
      </c>
      <c r="K262" s="23">
        <v>1255</v>
      </c>
      <c r="L262" s="24">
        <v>87</v>
      </c>
      <c r="M262" s="23">
        <v>91</v>
      </c>
      <c r="N262" s="24">
        <v>6768</v>
      </c>
      <c r="O262" s="23">
        <v>1267</v>
      </c>
      <c r="P262" s="24">
        <v>5824</v>
      </c>
      <c r="Q262" s="23">
        <v>1145</v>
      </c>
      <c r="R262" s="24">
        <v>944</v>
      </c>
      <c r="S262" s="23">
        <v>335</v>
      </c>
      <c r="T262" s="24">
        <v>1191</v>
      </c>
      <c r="U262" s="23">
        <v>304</v>
      </c>
      <c r="V262" s="24">
        <v>1185</v>
      </c>
      <c r="W262" s="23">
        <v>299</v>
      </c>
      <c r="X262" s="24">
        <v>6</v>
      </c>
      <c r="Y262" s="20">
        <v>39</v>
      </c>
      <c r="Z262" s="19">
        <v>7933</v>
      </c>
      <c r="AA262" s="23">
        <v>1156</v>
      </c>
      <c r="AB262" s="24">
        <v>2984</v>
      </c>
      <c r="AC262" s="23">
        <v>684</v>
      </c>
      <c r="AD262" s="24">
        <v>2922</v>
      </c>
      <c r="AE262" s="23">
        <v>683</v>
      </c>
      <c r="AF262" s="24">
        <v>62</v>
      </c>
      <c r="AG262" s="23">
        <v>55</v>
      </c>
      <c r="AH262" s="24">
        <v>3934</v>
      </c>
      <c r="AI262" s="23">
        <v>521</v>
      </c>
      <c r="AJ262" s="24">
        <v>3384</v>
      </c>
      <c r="AK262" s="23">
        <v>491</v>
      </c>
      <c r="AL262" s="24">
        <v>550</v>
      </c>
      <c r="AM262" s="23">
        <v>167</v>
      </c>
      <c r="AN262" s="24">
        <v>1015</v>
      </c>
      <c r="AO262" s="23">
        <v>182</v>
      </c>
      <c r="AP262" s="24">
        <v>1015</v>
      </c>
      <c r="AQ262" s="23">
        <v>182</v>
      </c>
      <c r="AR262" s="24">
        <v>0</v>
      </c>
      <c r="AS262" s="20">
        <v>25</v>
      </c>
      <c r="AT262" s="19">
        <v>15243</v>
      </c>
      <c r="AU262" s="23">
        <v>1415</v>
      </c>
      <c r="AV262" s="24">
        <v>3465</v>
      </c>
      <c r="AW262" s="23">
        <v>626</v>
      </c>
      <c r="AX262" s="24">
        <v>3263</v>
      </c>
      <c r="AY262" s="23">
        <v>599</v>
      </c>
      <c r="AZ262" s="24">
        <v>202</v>
      </c>
      <c r="BA262" s="23">
        <v>210</v>
      </c>
      <c r="BB262" s="24">
        <v>9797</v>
      </c>
      <c r="BC262" s="23">
        <v>921</v>
      </c>
      <c r="BD262" s="24">
        <v>8606</v>
      </c>
      <c r="BE262" s="23">
        <v>840</v>
      </c>
      <c r="BF262" s="24">
        <v>1191</v>
      </c>
      <c r="BG262" s="23">
        <v>374</v>
      </c>
      <c r="BH262" s="24">
        <v>1981</v>
      </c>
      <c r="BI262" s="23">
        <v>250</v>
      </c>
      <c r="BJ262" s="24">
        <v>1981</v>
      </c>
      <c r="BK262" s="23">
        <v>250</v>
      </c>
      <c r="BL262" s="24">
        <v>0</v>
      </c>
      <c r="BM262" s="20">
        <v>25</v>
      </c>
      <c r="BN262" s="19">
        <v>12000</v>
      </c>
      <c r="BO262" s="23">
        <v>1072</v>
      </c>
      <c r="BP262" s="24">
        <v>1500</v>
      </c>
      <c r="BQ262" s="23">
        <v>321</v>
      </c>
      <c r="BR262" s="24">
        <v>1480</v>
      </c>
      <c r="BS262" s="23">
        <v>326</v>
      </c>
      <c r="BT262" s="26">
        <v>20</v>
      </c>
      <c r="BU262" s="23">
        <v>32</v>
      </c>
      <c r="BV262" s="24">
        <v>8784</v>
      </c>
      <c r="BW262" s="23">
        <v>859</v>
      </c>
      <c r="BX262" s="24">
        <v>8405</v>
      </c>
      <c r="BY262" s="23">
        <v>859</v>
      </c>
      <c r="BZ262" s="24">
        <v>379</v>
      </c>
      <c r="CA262" s="23">
        <v>130</v>
      </c>
      <c r="CB262" s="24">
        <v>1716</v>
      </c>
      <c r="CC262" s="23">
        <v>213</v>
      </c>
      <c r="CD262" s="24">
        <v>1716</v>
      </c>
      <c r="CE262" s="23">
        <v>213</v>
      </c>
      <c r="CF262" s="24">
        <v>0</v>
      </c>
      <c r="CG262" s="20">
        <v>25</v>
      </c>
    </row>
    <row r="263" spans="1:85" x14ac:dyDescent="0.3">
      <c r="A263" t="s">
        <v>525</v>
      </c>
      <c r="B263">
        <v>21230</v>
      </c>
      <c r="C263" t="s">
        <v>526</v>
      </c>
      <c r="D263" s="19">
        <v>34474</v>
      </c>
      <c r="E263" s="20">
        <v>1134</v>
      </c>
      <c r="F263" s="19">
        <v>7191</v>
      </c>
      <c r="G263" s="23">
        <v>1239</v>
      </c>
      <c r="H263" s="24">
        <v>1964</v>
      </c>
      <c r="I263" s="23">
        <v>654</v>
      </c>
      <c r="J263" s="24">
        <v>1942</v>
      </c>
      <c r="K263" s="23">
        <v>637</v>
      </c>
      <c r="L263" s="24">
        <v>22</v>
      </c>
      <c r="M263" s="23">
        <v>62</v>
      </c>
      <c r="N263" s="24">
        <v>4398</v>
      </c>
      <c r="O263" s="23">
        <v>743</v>
      </c>
      <c r="P263" s="24">
        <v>3767</v>
      </c>
      <c r="Q263" s="23">
        <v>705</v>
      </c>
      <c r="R263" s="24">
        <v>631</v>
      </c>
      <c r="S263" s="23">
        <v>298</v>
      </c>
      <c r="T263" s="24">
        <v>829</v>
      </c>
      <c r="U263" s="23">
        <v>252</v>
      </c>
      <c r="V263" s="24">
        <v>820</v>
      </c>
      <c r="W263" s="23">
        <v>250</v>
      </c>
      <c r="X263" s="24">
        <v>9</v>
      </c>
      <c r="Y263" s="20">
        <v>47</v>
      </c>
      <c r="Z263" s="19">
        <v>3433</v>
      </c>
      <c r="AA263" s="23">
        <v>633</v>
      </c>
      <c r="AB263" s="24">
        <v>933</v>
      </c>
      <c r="AC263" s="23">
        <v>338</v>
      </c>
      <c r="AD263" s="24">
        <v>917</v>
      </c>
      <c r="AE263" s="23">
        <v>341</v>
      </c>
      <c r="AF263" s="24">
        <v>16</v>
      </c>
      <c r="AG263" s="23">
        <v>28</v>
      </c>
      <c r="AH263" s="24">
        <v>2004</v>
      </c>
      <c r="AI263" s="23">
        <v>397</v>
      </c>
      <c r="AJ263" s="24">
        <v>1500</v>
      </c>
      <c r="AK263" s="23">
        <v>339</v>
      </c>
      <c r="AL263" s="24">
        <v>504</v>
      </c>
      <c r="AM263" s="23">
        <v>181</v>
      </c>
      <c r="AN263" s="24">
        <v>496</v>
      </c>
      <c r="AO263" s="23">
        <v>122</v>
      </c>
      <c r="AP263" s="24">
        <v>496</v>
      </c>
      <c r="AQ263" s="23">
        <v>122</v>
      </c>
      <c r="AR263" s="24">
        <v>0</v>
      </c>
      <c r="AS263" s="20">
        <v>25</v>
      </c>
      <c r="AT263" s="19">
        <v>8105</v>
      </c>
      <c r="AU263" s="23">
        <v>811</v>
      </c>
      <c r="AV263" s="24">
        <v>1169</v>
      </c>
      <c r="AW263" s="23">
        <v>340</v>
      </c>
      <c r="AX263" s="24">
        <v>1095</v>
      </c>
      <c r="AY263" s="23">
        <v>331</v>
      </c>
      <c r="AZ263" s="24">
        <v>74</v>
      </c>
      <c r="BA263" s="23">
        <v>63</v>
      </c>
      <c r="BB263" s="24">
        <v>6158</v>
      </c>
      <c r="BC263" s="23">
        <v>593</v>
      </c>
      <c r="BD263" s="24">
        <v>5582</v>
      </c>
      <c r="BE263" s="23">
        <v>533</v>
      </c>
      <c r="BF263" s="24">
        <v>576</v>
      </c>
      <c r="BG263" s="23">
        <v>184</v>
      </c>
      <c r="BH263" s="24">
        <v>778</v>
      </c>
      <c r="BI263" s="23">
        <v>151</v>
      </c>
      <c r="BJ263" s="24">
        <v>778</v>
      </c>
      <c r="BK263" s="23">
        <v>151</v>
      </c>
      <c r="BL263" s="24">
        <v>0</v>
      </c>
      <c r="BM263" s="20">
        <v>25</v>
      </c>
      <c r="BN263" s="19">
        <v>15745</v>
      </c>
      <c r="BO263" s="23">
        <v>976</v>
      </c>
      <c r="BP263" s="24">
        <v>1761</v>
      </c>
      <c r="BQ263" s="23">
        <v>242</v>
      </c>
      <c r="BR263" s="24">
        <v>1751</v>
      </c>
      <c r="BS263" s="23">
        <v>243</v>
      </c>
      <c r="BT263" s="26">
        <v>10</v>
      </c>
      <c r="BU263" s="23">
        <v>16</v>
      </c>
      <c r="BV263" s="24">
        <v>13095</v>
      </c>
      <c r="BW263" s="23">
        <v>822</v>
      </c>
      <c r="BX263" s="24">
        <v>12709</v>
      </c>
      <c r="BY263" s="23">
        <v>783</v>
      </c>
      <c r="BZ263" s="24">
        <v>386</v>
      </c>
      <c r="CA263" s="23">
        <v>140</v>
      </c>
      <c r="CB263" s="24">
        <v>889</v>
      </c>
      <c r="CC263" s="23">
        <v>155</v>
      </c>
      <c r="CD263" s="24">
        <v>889</v>
      </c>
      <c r="CE263" s="23">
        <v>155</v>
      </c>
      <c r="CF263" s="24">
        <v>0</v>
      </c>
      <c r="CG263" s="20">
        <v>25</v>
      </c>
    </row>
    <row r="264" spans="1:85" x14ac:dyDescent="0.3">
      <c r="A264" t="s">
        <v>527</v>
      </c>
      <c r="B264">
        <v>21231</v>
      </c>
      <c r="C264" t="s">
        <v>528</v>
      </c>
      <c r="D264" s="19">
        <v>16622</v>
      </c>
      <c r="E264" s="20">
        <v>909</v>
      </c>
      <c r="F264" s="19">
        <v>4211</v>
      </c>
      <c r="G264" s="23">
        <v>782</v>
      </c>
      <c r="H264" s="24">
        <v>958</v>
      </c>
      <c r="I264" s="23">
        <v>348</v>
      </c>
      <c r="J264" s="24">
        <v>746</v>
      </c>
      <c r="K264" s="23">
        <v>286</v>
      </c>
      <c r="L264" s="24">
        <v>212</v>
      </c>
      <c r="M264" s="23">
        <v>192</v>
      </c>
      <c r="N264" s="24">
        <v>2778</v>
      </c>
      <c r="O264" s="23">
        <v>657</v>
      </c>
      <c r="P264" s="24">
        <v>2243</v>
      </c>
      <c r="Q264" s="23">
        <v>621</v>
      </c>
      <c r="R264" s="24">
        <v>535</v>
      </c>
      <c r="S264" s="23">
        <v>283</v>
      </c>
      <c r="T264" s="24">
        <v>475</v>
      </c>
      <c r="U264" s="23">
        <v>214</v>
      </c>
      <c r="V264" s="24">
        <v>408</v>
      </c>
      <c r="W264" s="23">
        <v>183</v>
      </c>
      <c r="X264" s="24">
        <v>67</v>
      </c>
      <c r="Y264" s="20">
        <v>105</v>
      </c>
      <c r="Z264" s="19">
        <v>1355</v>
      </c>
      <c r="AA264" s="23">
        <v>512</v>
      </c>
      <c r="AB264" s="24">
        <v>315</v>
      </c>
      <c r="AC264" s="23">
        <v>212</v>
      </c>
      <c r="AD264" s="24">
        <v>301</v>
      </c>
      <c r="AE264" s="23">
        <v>216</v>
      </c>
      <c r="AF264" s="24">
        <v>14</v>
      </c>
      <c r="AG264" s="23">
        <v>23</v>
      </c>
      <c r="AH264" s="24">
        <v>845</v>
      </c>
      <c r="AI264" s="23">
        <v>294</v>
      </c>
      <c r="AJ264" s="24">
        <v>690</v>
      </c>
      <c r="AK264" s="23">
        <v>278</v>
      </c>
      <c r="AL264" s="24">
        <v>155</v>
      </c>
      <c r="AM264" s="23">
        <v>94</v>
      </c>
      <c r="AN264" s="24">
        <v>195</v>
      </c>
      <c r="AO264" s="23">
        <v>84</v>
      </c>
      <c r="AP264" s="24">
        <v>195</v>
      </c>
      <c r="AQ264" s="23">
        <v>84</v>
      </c>
      <c r="AR264" s="24">
        <v>0</v>
      </c>
      <c r="AS264" s="20">
        <v>19</v>
      </c>
      <c r="AT264" s="19">
        <v>3618</v>
      </c>
      <c r="AU264" s="23">
        <v>577</v>
      </c>
      <c r="AV264" s="24">
        <v>476</v>
      </c>
      <c r="AW264" s="23">
        <v>152</v>
      </c>
      <c r="AX264" s="24">
        <v>476</v>
      </c>
      <c r="AY264" s="23">
        <v>152</v>
      </c>
      <c r="AZ264" s="24">
        <v>0</v>
      </c>
      <c r="BA264" s="23">
        <v>19</v>
      </c>
      <c r="BB264" s="24">
        <v>2844</v>
      </c>
      <c r="BC264" s="23">
        <v>508</v>
      </c>
      <c r="BD264" s="24">
        <v>2718</v>
      </c>
      <c r="BE264" s="23">
        <v>497</v>
      </c>
      <c r="BF264" s="24">
        <v>126</v>
      </c>
      <c r="BG264" s="23">
        <v>65</v>
      </c>
      <c r="BH264" s="24">
        <v>298</v>
      </c>
      <c r="BI264" s="23">
        <v>105</v>
      </c>
      <c r="BJ264" s="24">
        <v>298</v>
      </c>
      <c r="BK264" s="23">
        <v>105</v>
      </c>
      <c r="BL264" s="24">
        <v>0</v>
      </c>
      <c r="BM264" s="20">
        <v>19</v>
      </c>
      <c r="BN264" s="19">
        <v>7438</v>
      </c>
      <c r="BO264" s="23">
        <v>660</v>
      </c>
      <c r="BP264" s="24">
        <v>807</v>
      </c>
      <c r="BQ264" s="23">
        <v>182</v>
      </c>
      <c r="BR264" s="24">
        <v>778</v>
      </c>
      <c r="BS264" s="23">
        <v>180</v>
      </c>
      <c r="BT264" s="26">
        <v>29</v>
      </c>
      <c r="BU264" s="23">
        <v>32</v>
      </c>
      <c r="BV264" s="24">
        <v>6226</v>
      </c>
      <c r="BW264" s="23">
        <v>552</v>
      </c>
      <c r="BX264" s="24">
        <v>5971</v>
      </c>
      <c r="BY264" s="23">
        <v>519</v>
      </c>
      <c r="BZ264" s="24">
        <v>255</v>
      </c>
      <c r="CA264" s="23">
        <v>198</v>
      </c>
      <c r="CB264" s="24">
        <v>405</v>
      </c>
      <c r="CC264" s="23">
        <v>131</v>
      </c>
      <c r="CD264" s="24">
        <v>405</v>
      </c>
      <c r="CE264" s="23">
        <v>131</v>
      </c>
      <c r="CF264" s="24">
        <v>0</v>
      </c>
      <c r="CG264" s="20">
        <v>19</v>
      </c>
    </row>
    <row r="265" spans="1:85" x14ac:dyDescent="0.3">
      <c r="A265" t="s">
        <v>529</v>
      </c>
      <c r="B265">
        <v>21234</v>
      </c>
      <c r="C265" t="s">
        <v>530</v>
      </c>
      <c r="D265" s="19">
        <v>69095</v>
      </c>
      <c r="E265" s="20">
        <v>1416</v>
      </c>
      <c r="F265" s="19">
        <v>8984</v>
      </c>
      <c r="G265" s="23">
        <v>1555</v>
      </c>
      <c r="H265" s="24">
        <v>2468</v>
      </c>
      <c r="I265" s="23">
        <v>735</v>
      </c>
      <c r="J265" s="24">
        <v>2342</v>
      </c>
      <c r="K265" s="23">
        <v>726</v>
      </c>
      <c r="L265" s="24">
        <v>126</v>
      </c>
      <c r="M265" s="23">
        <v>110</v>
      </c>
      <c r="N265" s="24">
        <v>5071</v>
      </c>
      <c r="O265" s="23">
        <v>915</v>
      </c>
      <c r="P265" s="24">
        <v>4139</v>
      </c>
      <c r="Q265" s="23">
        <v>843</v>
      </c>
      <c r="R265" s="24">
        <v>932</v>
      </c>
      <c r="S265" s="23">
        <v>344</v>
      </c>
      <c r="T265" s="24">
        <v>1445</v>
      </c>
      <c r="U265" s="23">
        <v>357</v>
      </c>
      <c r="V265" s="24">
        <v>1445</v>
      </c>
      <c r="W265" s="23">
        <v>357</v>
      </c>
      <c r="X265" s="24">
        <v>0</v>
      </c>
      <c r="Y265" s="20">
        <v>56</v>
      </c>
      <c r="Z265" s="19">
        <v>7071</v>
      </c>
      <c r="AA265" s="23">
        <v>969</v>
      </c>
      <c r="AB265" s="24">
        <v>1886</v>
      </c>
      <c r="AC265" s="23">
        <v>415</v>
      </c>
      <c r="AD265" s="24">
        <v>1771</v>
      </c>
      <c r="AE265" s="23">
        <v>430</v>
      </c>
      <c r="AF265" s="24">
        <v>115</v>
      </c>
      <c r="AG265" s="23">
        <v>127</v>
      </c>
      <c r="AH265" s="24">
        <v>3799</v>
      </c>
      <c r="AI265" s="23">
        <v>596</v>
      </c>
      <c r="AJ265" s="24">
        <v>3151</v>
      </c>
      <c r="AK265" s="23">
        <v>545</v>
      </c>
      <c r="AL265" s="24">
        <v>648</v>
      </c>
      <c r="AM265" s="23">
        <v>176</v>
      </c>
      <c r="AN265" s="24">
        <v>1386</v>
      </c>
      <c r="AO265" s="23">
        <v>249</v>
      </c>
      <c r="AP265" s="24">
        <v>1374</v>
      </c>
      <c r="AQ265" s="23">
        <v>246</v>
      </c>
      <c r="AR265" s="24">
        <v>12</v>
      </c>
      <c r="AS265" s="20">
        <v>18</v>
      </c>
      <c r="AT265" s="19">
        <v>22599</v>
      </c>
      <c r="AU265" s="23">
        <v>1414</v>
      </c>
      <c r="AV265" s="24">
        <v>5363</v>
      </c>
      <c r="AW265" s="23">
        <v>605</v>
      </c>
      <c r="AX265" s="24">
        <v>5293</v>
      </c>
      <c r="AY265" s="23">
        <v>602</v>
      </c>
      <c r="AZ265" s="24">
        <v>70</v>
      </c>
      <c r="BA265" s="23">
        <v>44</v>
      </c>
      <c r="BB265" s="24">
        <v>12792</v>
      </c>
      <c r="BC265" s="23">
        <v>899</v>
      </c>
      <c r="BD265" s="24">
        <v>11327</v>
      </c>
      <c r="BE265" s="23">
        <v>845</v>
      </c>
      <c r="BF265" s="24">
        <v>1465</v>
      </c>
      <c r="BG265" s="23">
        <v>333</v>
      </c>
      <c r="BH265" s="24">
        <v>4444</v>
      </c>
      <c r="BI265" s="23">
        <v>475</v>
      </c>
      <c r="BJ265" s="24">
        <v>4375</v>
      </c>
      <c r="BK265" s="23">
        <v>459</v>
      </c>
      <c r="BL265" s="24">
        <v>69</v>
      </c>
      <c r="BM265" s="20">
        <v>65</v>
      </c>
      <c r="BN265" s="19">
        <v>30441</v>
      </c>
      <c r="BO265" s="23">
        <v>1578</v>
      </c>
      <c r="BP265" s="24">
        <v>4796</v>
      </c>
      <c r="BQ265" s="23">
        <v>598</v>
      </c>
      <c r="BR265" s="24">
        <v>4765</v>
      </c>
      <c r="BS265" s="23">
        <v>599</v>
      </c>
      <c r="BT265" s="26">
        <v>31</v>
      </c>
      <c r="BU265" s="23">
        <v>32</v>
      </c>
      <c r="BV265" s="24">
        <v>20749</v>
      </c>
      <c r="BW265" s="23">
        <v>1093</v>
      </c>
      <c r="BX265" s="24">
        <v>19909</v>
      </c>
      <c r="BY265" s="23">
        <v>1076</v>
      </c>
      <c r="BZ265" s="24">
        <v>840</v>
      </c>
      <c r="CA265" s="23">
        <v>281</v>
      </c>
      <c r="CB265" s="24">
        <v>4896</v>
      </c>
      <c r="CC265" s="23">
        <v>557</v>
      </c>
      <c r="CD265" s="24">
        <v>4869</v>
      </c>
      <c r="CE265" s="23">
        <v>556</v>
      </c>
      <c r="CF265" s="24">
        <v>27</v>
      </c>
      <c r="CG265" s="20">
        <v>30</v>
      </c>
    </row>
    <row r="266" spans="1:85" x14ac:dyDescent="0.3">
      <c r="A266" t="s">
        <v>531</v>
      </c>
      <c r="B266">
        <v>21236</v>
      </c>
      <c r="C266" t="s">
        <v>532</v>
      </c>
      <c r="D266" s="19">
        <v>39135</v>
      </c>
      <c r="E266" s="20">
        <v>1411</v>
      </c>
      <c r="F266" s="19">
        <v>5059</v>
      </c>
      <c r="G266" s="23">
        <v>1164</v>
      </c>
      <c r="H266" s="24">
        <v>1596</v>
      </c>
      <c r="I266" s="23">
        <v>625</v>
      </c>
      <c r="J266" s="24">
        <v>1487</v>
      </c>
      <c r="K266" s="23">
        <v>598</v>
      </c>
      <c r="L266" s="24">
        <v>109</v>
      </c>
      <c r="M266" s="23">
        <v>157</v>
      </c>
      <c r="N266" s="24">
        <v>2698</v>
      </c>
      <c r="O266" s="23">
        <v>657</v>
      </c>
      <c r="P266" s="24">
        <v>2294</v>
      </c>
      <c r="Q266" s="23">
        <v>553</v>
      </c>
      <c r="R266" s="24">
        <v>404</v>
      </c>
      <c r="S266" s="23">
        <v>309</v>
      </c>
      <c r="T266" s="24">
        <v>765</v>
      </c>
      <c r="U266" s="23">
        <v>219</v>
      </c>
      <c r="V266" s="24">
        <v>765</v>
      </c>
      <c r="W266" s="23">
        <v>219</v>
      </c>
      <c r="X266" s="24">
        <v>0</v>
      </c>
      <c r="Y266" s="20">
        <v>50</v>
      </c>
      <c r="Z266" s="19">
        <v>2198</v>
      </c>
      <c r="AA266" s="23">
        <v>883</v>
      </c>
      <c r="AB266" s="24">
        <v>729</v>
      </c>
      <c r="AC266" s="23">
        <v>587</v>
      </c>
      <c r="AD266" s="24">
        <v>729</v>
      </c>
      <c r="AE266" s="23">
        <v>587</v>
      </c>
      <c r="AF266" s="24">
        <v>0</v>
      </c>
      <c r="AG266" s="23">
        <v>25</v>
      </c>
      <c r="AH266" s="24">
        <v>1098</v>
      </c>
      <c r="AI266" s="23">
        <v>338</v>
      </c>
      <c r="AJ266" s="24">
        <v>894</v>
      </c>
      <c r="AK266" s="23">
        <v>303</v>
      </c>
      <c r="AL266" s="24">
        <v>204</v>
      </c>
      <c r="AM266" s="23">
        <v>116</v>
      </c>
      <c r="AN266" s="24">
        <v>371</v>
      </c>
      <c r="AO266" s="23">
        <v>119</v>
      </c>
      <c r="AP266" s="24">
        <v>371</v>
      </c>
      <c r="AQ266" s="23">
        <v>119</v>
      </c>
      <c r="AR266" s="24">
        <v>0</v>
      </c>
      <c r="AS266" s="20">
        <v>25</v>
      </c>
      <c r="AT266" s="19">
        <v>10586</v>
      </c>
      <c r="AU266" s="23">
        <v>1257</v>
      </c>
      <c r="AV266" s="24">
        <v>2427</v>
      </c>
      <c r="AW266" s="23">
        <v>429</v>
      </c>
      <c r="AX266" s="24">
        <v>2358</v>
      </c>
      <c r="AY266" s="23">
        <v>428</v>
      </c>
      <c r="AZ266" s="24">
        <v>69</v>
      </c>
      <c r="BA266" s="23">
        <v>78</v>
      </c>
      <c r="BB266" s="24">
        <v>6210</v>
      </c>
      <c r="BC266" s="23">
        <v>810</v>
      </c>
      <c r="BD266" s="24">
        <v>5712</v>
      </c>
      <c r="BE266" s="23">
        <v>764</v>
      </c>
      <c r="BF266" s="24">
        <v>498</v>
      </c>
      <c r="BG266" s="23">
        <v>163</v>
      </c>
      <c r="BH266" s="24">
        <v>1949</v>
      </c>
      <c r="BI266" s="23">
        <v>318</v>
      </c>
      <c r="BJ266" s="24">
        <v>1897</v>
      </c>
      <c r="BK266" s="23">
        <v>310</v>
      </c>
      <c r="BL266" s="24">
        <v>52</v>
      </c>
      <c r="BM266" s="20">
        <v>57</v>
      </c>
      <c r="BN266" s="19">
        <v>21292</v>
      </c>
      <c r="BO266" s="23">
        <v>1532</v>
      </c>
      <c r="BP266" s="24">
        <v>4101</v>
      </c>
      <c r="BQ266" s="23">
        <v>633</v>
      </c>
      <c r="BR266" s="24">
        <v>4057</v>
      </c>
      <c r="BS266" s="23">
        <v>623</v>
      </c>
      <c r="BT266" s="26">
        <v>44</v>
      </c>
      <c r="BU266" s="23">
        <v>49</v>
      </c>
      <c r="BV266" s="24">
        <v>15043</v>
      </c>
      <c r="BW266" s="23">
        <v>1011</v>
      </c>
      <c r="BX266" s="24">
        <v>14565</v>
      </c>
      <c r="BY266" s="23">
        <v>970</v>
      </c>
      <c r="BZ266" s="24">
        <v>478</v>
      </c>
      <c r="CA266" s="23">
        <v>205</v>
      </c>
      <c r="CB266" s="24">
        <v>2148</v>
      </c>
      <c r="CC266" s="23">
        <v>313</v>
      </c>
      <c r="CD266" s="24">
        <v>2104</v>
      </c>
      <c r="CE266" s="23">
        <v>307</v>
      </c>
      <c r="CF266" s="24">
        <v>44</v>
      </c>
      <c r="CG266" s="20">
        <v>64</v>
      </c>
    </row>
    <row r="267" spans="1:85" x14ac:dyDescent="0.3">
      <c r="A267" t="s">
        <v>533</v>
      </c>
      <c r="B267">
        <v>21237</v>
      </c>
      <c r="C267" t="s">
        <v>534</v>
      </c>
      <c r="D267" s="19">
        <v>29865</v>
      </c>
      <c r="E267" s="20">
        <v>1267</v>
      </c>
      <c r="F267" s="19">
        <v>3598</v>
      </c>
      <c r="G267" s="23">
        <v>949</v>
      </c>
      <c r="H267" s="24">
        <v>988</v>
      </c>
      <c r="I267" s="23">
        <v>472</v>
      </c>
      <c r="J267" s="24">
        <v>851</v>
      </c>
      <c r="K267" s="23">
        <v>456</v>
      </c>
      <c r="L267" s="24">
        <v>137</v>
      </c>
      <c r="M267" s="23">
        <v>168</v>
      </c>
      <c r="N267" s="24">
        <v>2132</v>
      </c>
      <c r="O267" s="23">
        <v>535</v>
      </c>
      <c r="P267" s="24">
        <v>1611</v>
      </c>
      <c r="Q267" s="23">
        <v>457</v>
      </c>
      <c r="R267" s="24">
        <v>521</v>
      </c>
      <c r="S267" s="23">
        <v>228</v>
      </c>
      <c r="T267" s="24">
        <v>478</v>
      </c>
      <c r="U267" s="23">
        <v>246</v>
      </c>
      <c r="V267" s="24">
        <v>444</v>
      </c>
      <c r="W267" s="23">
        <v>234</v>
      </c>
      <c r="X267" s="24">
        <v>34</v>
      </c>
      <c r="Y267" s="20">
        <v>62</v>
      </c>
      <c r="Z267" s="19">
        <v>4313</v>
      </c>
      <c r="AA267" s="23">
        <v>1045</v>
      </c>
      <c r="AB267" s="24">
        <v>1591</v>
      </c>
      <c r="AC267" s="23">
        <v>505</v>
      </c>
      <c r="AD267" s="24">
        <v>1239</v>
      </c>
      <c r="AE267" s="23">
        <v>427</v>
      </c>
      <c r="AF267" s="24">
        <v>352</v>
      </c>
      <c r="AG267" s="23">
        <v>304</v>
      </c>
      <c r="AH267" s="24">
        <v>2173</v>
      </c>
      <c r="AI267" s="23">
        <v>546</v>
      </c>
      <c r="AJ267" s="24">
        <v>1238</v>
      </c>
      <c r="AK267" s="23">
        <v>317</v>
      </c>
      <c r="AL267" s="24">
        <v>935</v>
      </c>
      <c r="AM267" s="23">
        <v>460</v>
      </c>
      <c r="AN267" s="24">
        <v>549</v>
      </c>
      <c r="AO267" s="23">
        <v>245</v>
      </c>
      <c r="AP267" s="24">
        <v>537</v>
      </c>
      <c r="AQ267" s="23">
        <v>244</v>
      </c>
      <c r="AR267" s="24">
        <v>12</v>
      </c>
      <c r="AS267" s="20">
        <v>19</v>
      </c>
      <c r="AT267" s="19">
        <v>9679</v>
      </c>
      <c r="AU267" s="23">
        <v>1152</v>
      </c>
      <c r="AV267" s="24">
        <v>2475</v>
      </c>
      <c r="AW267" s="23">
        <v>562</v>
      </c>
      <c r="AX267" s="24">
        <v>2226</v>
      </c>
      <c r="AY267" s="23">
        <v>463</v>
      </c>
      <c r="AZ267" s="24">
        <v>249</v>
      </c>
      <c r="BA267" s="23">
        <v>232</v>
      </c>
      <c r="BB267" s="24">
        <v>5413</v>
      </c>
      <c r="BC267" s="23">
        <v>683</v>
      </c>
      <c r="BD267" s="24">
        <v>5019</v>
      </c>
      <c r="BE267" s="23">
        <v>623</v>
      </c>
      <c r="BF267" s="24">
        <v>394</v>
      </c>
      <c r="BG267" s="23">
        <v>230</v>
      </c>
      <c r="BH267" s="24">
        <v>1791</v>
      </c>
      <c r="BI267" s="23">
        <v>280</v>
      </c>
      <c r="BJ267" s="24">
        <v>1751</v>
      </c>
      <c r="BK267" s="23">
        <v>283</v>
      </c>
      <c r="BL267" s="24">
        <v>40</v>
      </c>
      <c r="BM267" s="20">
        <v>46</v>
      </c>
      <c r="BN267" s="19">
        <v>12275</v>
      </c>
      <c r="BO267" s="23">
        <v>919</v>
      </c>
      <c r="BP267" s="24">
        <v>1658</v>
      </c>
      <c r="BQ267" s="23">
        <v>262</v>
      </c>
      <c r="BR267" s="24">
        <v>1602</v>
      </c>
      <c r="BS267" s="23">
        <v>255</v>
      </c>
      <c r="BT267" s="26">
        <v>56</v>
      </c>
      <c r="BU267" s="23">
        <v>55</v>
      </c>
      <c r="BV267" s="24">
        <v>9062</v>
      </c>
      <c r="BW267" s="23">
        <v>749</v>
      </c>
      <c r="BX267" s="24">
        <v>8604</v>
      </c>
      <c r="BY267" s="23">
        <v>702</v>
      </c>
      <c r="BZ267" s="24">
        <v>458</v>
      </c>
      <c r="CA267" s="23">
        <v>225</v>
      </c>
      <c r="CB267" s="24">
        <v>1555</v>
      </c>
      <c r="CC267" s="23">
        <v>274</v>
      </c>
      <c r="CD267" s="24">
        <v>1534</v>
      </c>
      <c r="CE267" s="23">
        <v>274</v>
      </c>
      <c r="CF267" s="24">
        <v>21</v>
      </c>
      <c r="CG267" s="20">
        <v>25</v>
      </c>
    </row>
    <row r="268" spans="1:85" x14ac:dyDescent="0.3">
      <c r="A268" t="s">
        <v>535</v>
      </c>
      <c r="B268">
        <v>21239</v>
      </c>
      <c r="C268" t="s">
        <v>536</v>
      </c>
      <c r="D268" s="19">
        <v>30478</v>
      </c>
      <c r="E268" s="20">
        <v>1091</v>
      </c>
      <c r="F268" s="19">
        <v>5061</v>
      </c>
      <c r="G268" s="23">
        <v>1084</v>
      </c>
      <c r="H268" s="24">
        <v>1072</v>
      </c>
      <c r="I268" s="23">
        <v>475</v>
      </c>
      <c r="J268" s="24">
        <v>1002</v>
      </c>
      <c r="K268" s="23">
        <v>452</v>
      </c>
      <c r="L268" s="24">
        <v>70</v>
      </c>
      <c r="M268" s="23">
        <v>121</v>
      </c>
      <c r="N268" s="24">
        <v>3380</v>
      </c>
      <c r="O268" s="23">
        <v>837</v>
      </c>
      <c r="P268" s="24">
        <v>2904</v>
      </c>
      <c r="Q268" s="23">
        <v>751</v>
      </c>
      <c r="R268" s="24">
        <v>476</v>
      </c>
      <c r="S268" s="23">
        <v>249</v>
      </c>
      <c r="T268" s="24">
        <v>609</v>
      </c>
      <c r="U268" s="23">
        <v>242</v>
      </c>
      <c r="V268" s="24">
        <v>583</v>
      </c>
      <c r="W268" s="23">
        <v>236</v>
      </c>
      <c r="X268" s="24">
        <v>26</v>
      </c>
      <c r="Y268" s="20">
        <v>39</v>
      </c>
      <c r="Z268" s="19">
        <v>4263</v>
      </c>
      <c r="AA268" s="23">
        <v>1055</v>
      </c>
      <c r="AB268" s="24">
        <v>1178</v>
      </c>
      <c r="AC268" s="23">
        <v>408</v>
      </c>
      <c r="AD268" s="24">
        <v>1164</v>
      </c>
      <c r="AE268" s="23">
        <v>409</v>
      </c>
      <c r="AF268" s="24">
        <v>14</v>
      </c>
      <c r="AG268" s="23">
        <v>21</v>
      </c>
      <c r="AH268" s="24">
        <v>2497</v>
      </c>
      <c r="AI268" s="23">
        <v>709</v>
      </c>
      <c r="AJ268" s="24">
        <v>2007</v>
      </c>
      <c r="AK268" s="23">
        <v>654</v>
      </c>
      <c r="AL268" s="24">
        <v>490</v>
      </c>
      <c r="AM268" s="23">
        <v>311</v>
      </c>
      <c r="AN268" s="24">
        <v>588</v>
      </c>
      <c r="AO268" s="23">
        <v>198</v>
      </c>
      <c r="AP268" s="24">
        <v>564</v>
      </c>
      <c r="AQ268" s="23">
        <v>196</v>
      </c>
      <c r="AR268" s="24">
        <v>24</v>
      </c>
      <c r="AS268" s="20">
        <v>38</v>
      </c>
      <c r="AT268" s="19">
        <v>10707</v>
      </c>
      <c r="AU268" s="23">
        <v>1480</v>
      </c>
      <c r="AV268" s="24">
        <v>2452</v>
      </c>
      <c r="AW268" s="23">
        <v>576</v>
      </c>
      <c r="AX268" s="24">
        <v>2452</v>
      </c>
      <c r="AY268" s="23">
        <v>576</v>
      </c>
      <c r="AZ268" s="24">
        <v>0</v>
      </c>
      <c r="BA268" s="23">
        <v>25</v>
      </c>
      <c r="BB268" s="24">
        <v>6277</v>
      </c>
      <c r="BC268" s="23">
        <v>898</v>
      </c>
      <c r="BD268" s="24">
        <v>5755</v>
      </c>
      <c r="BE268" s="23">
        <v>797</v>
      </c>
      <c r="BF268" s="24">
        <v>522</v>
      </c>
      <c r="BG268" s="23">
        <v>270</v>
      </c>
      <c r="BH268" s="24">
        <v>1978</v>
      </c>
      <c r="BI268" s="23">
        <v>338</v>
      </c>
      <c r="BJ268" s="24">
        <v>1954</v>
      </c>
      <c r="BK268" s="23">
        <v>336</v>
      </c>
      <c r="BL268" s="24">
        <v>24</v>
      </c>
      <c r="BM268" s="20">
        <v>28</v>
      </c>
      <c r="BN268" s="19">
        <v>10447</v>
      </c>
      <c r="BO268" s="23">
        <v>1204</v>
      </c>
      <c r="BP268" s="24">
        <v>1836</v>
      </c>
      <c r="BQ268" s="23">
        <v>503</v>
      </c>
      <c r="BR268" s="24">
        <v>1836</v>
      </c>
      <c r="BS268" s="23">
        <v>503</v>
      </c>
      <c r="BT268" s="26">
        <v>0</v>
      </c>
      <c r="BU268" s="23">
        <v>25</v>
      </c>
      <c r="BV268" s="24">
        <v>7174</v>
      </c>
      <c r="BW268" s="23">
        <v>816</v>
      </c>
      <c r="BX268" s="24">
        <v>6882</v>
      </c>
      <c r="BY268" s="23">
        <v>762</v>
      </c>
      <c r="BZ268" s="24">
        <v>292</v>
      </c>
      <c r="CA268" s="23">
        <v>155</v>
      </c>
      <c r="CB268" s="24">
        <v>1437</v>
      </c>
      <c r="CC268" s="23">
        <v>280</v>
      </c>
      <c r="CD268" s="24">
        <v>1424</v>
      </c>
      <c r="CE268" s="23">
        <v>279</v>
      </c>
      <c r="CF268" s="24">
        <v>13</v>
      </c>
      <c r="CG268" s="20">
        <v>17</v>
      </c>
    </row>
    <row r="269" spans="1:85" x14ac:dyDescent="0.3">
      <c r="A269" t="s">
        <v>537</v>
      </c>
      <c r="B269">
        <v>21240</v>
      </c>
      <c r="C269" t="s">
        <v>538</v>
      </c>
      <c r="D269" s="19">
        <v>0</v>
      </c>
      <c r="E269" s="20">
        <v>12</v>
      </c>
      <c r="F269" s="19">
        <v>0</v>
      </c>
      <c r="G269" s="23">
        <v>24</v>
      </c>
      <c r="H269" s="24">
        <v>0</v>
      </c>
      <c r="I269" s="23">
        <v>24</v>
      </c>
      <c r="J269" s="24">
        <v>0</v>
      </c>
      <c r="K269" s="23">
        <v>24</v>
      </c>
      <c r="L269" s="24">
        <v>0</v>
      </c>
      <c r="M269" s="23">
        <v>24</v>
      </c>
      <c r="N269" s="24">
        <v>0</v>
      </c>
      <c r="O269" s="23">
        <v>24</v>
      </c>
      <c r="P269" s="24">
        <v>0</v>
      </c>
      <c r="Q269" s="23">
        <v>24</v>
      </c>
      <c r="R269" s="24">
        <v>0</v>
      </c>
      <c r="S269" s="23">
        <v>24</v>
      </c>
      <c r="T269" s="24">
        <v>0</v>
      </c>
      <c r="U269" s="23">
        <v>24</v>
      </c>
      <c r="V269" s="24">
        <v>0</v>
      </c>
      <c r="W269" s="23">
        <v>24</v>
      </c>
      <c r="X269" s="24">
        <v>0</v>
      </c>
      <c r="Y269" s="20">
        <v>24</v>
      </c>
      <c r="Z269" s="19">
        <v>0</v>
      </c>
      <c r="AA269" s="23">
        <v>12</v>
      </c>
      <c r="AB269" s="24">
        <v>0</v>
      </c>
      <c r="AC269" s="23">
        <v>12</v>
      </c>
      <c r="AD269" s="24">
        <v>0</v>
      </c>
      <c r="AE269" s="23">
        <v>12</v>
      </c>
      <c r="AF269" s="24">
        <v>0</v>
      </c>
      <c r="AG269" s="23">
        <v>12</v>
      </c>
      <c r="AH269" s="24">
        <v>0</v>
      </c>
      <c r="AI269" s="23">
        <v>12</v>
      </c>
      <c r="AJ269" s="24">
        <v>0</v>
      </c>
      <c r="AK269" s="23">
        <v>12</v>
      </c>
      <c r="AL269" s="24">
        <v>0</v>
      </c>
      <c r="AM269" s="23">
        <v>12</v>
      </c>
      <c r="AN269" s="24">
        <v>0</v>
      </c>
      <c r="AO269" s="23">
        <v>12</v>
      </c>
      <c r="AP269" s="24">
        <v>0</v>
      </c>
      <c r="AQ269" s="23">
        <v>12</v>
      </c>
      <c r="AR269" s="24">
        <v>0</v>
      </c>
      <c r="AS269" s="20">
        <v>12</v>
      </c>
      <c r="AT269" s="19">
        <v>0</v>
      </c>
      <c r="AU269" s="23">
        <v>12</v>
      </c>
      <c r="AV269" s="24">
        <v>0</v>
      </c>
      <c r="AW269" s="23">
        <v>12</v>
      </c>
      <c r="AX269" s="24">
        <v>0</v>
      </c>
      <c r="AY269" s="23">
        <v>12</v>
      </c>
      <c r="AZ269" s="24">
        <v>0</v>
      </c>
      <c r="BA269" s="23">
        <v>12</v>
      </c>
      <c r="BB269" s="24">
        <v>0</v>
      </c>
      <c r="BC269" s="23">
        <v>12</v>
      </c>
      <c r="BD269" s="24">
        <v>0</v>
      </c>
      <c r="BE269" s="23">
        <v>12</v>
      </c>
      <c r="BF269" s="24">
        <v>0</v>
      </c>
      <c r="BG269" s="23">
        <v>12</v>
      </c>
      <c r="BH269" s="24">
        <v>0</v>
      </c>
      <c r="BI269" s="23">
        <v>12</v>
      </c>
      <c r="BJ269" s="24">
        <v>0</v>
      </c>
      <c r="BK269" s="23">
        <v>12</v>
      </c>
      <c r="BL269" s="24">
        <v>0</v>
      </c>
      <c r="BM269" s="20">
        <v>12</v>
      </c>
      <c r="BN269" s="19">
        <v>0</v>
      </c>
      <c r="BO269" s="23">
        <v>12</v>
      </c>
      <c r="BP269" s="24">
        <v>0</v>
      </c>
      <c r="BQ269" s="23">
        <v>12</v>
      </c>
      <c r="BR269" s="24">
        <v>0</v>
      </c>
      <c r="BS269" s="23">
        <v>12</v>
      </c>
      <c r="BT269" s="26">
        <v>0</v>
      </c>
      <c r="BU269" s="23">
        <v>12</v>
      </c>
      <c r="BV269" s="24">
        <v>0</v>
      </c>
      <c r="BW269" s="23">
        <v>12</v>
      </c>
      <c r="BX269" s="24">
        <v>0</v>
      </c>
      <c r="BY269" s="23">
        <v>12</v>
      </c>
      <c r="BZ269" s="24">
        <v>0</v>
      </c>
      <c r="CA269" s="23">
        <v>12</v>
      </c>
      <c r="CB269" s="24">
        <v>0</v>
      </c>
      <c r="CC269" s="23">
        <v>12</v>
      </c>
      <c r="CD269" s="24">
        <v>0</v>
      </c>
      <c r="CE269" s="23">
        <v>12</v>
      </c>
      <c r="CF269" s="24">
        <v>0</v>
      </c>
      <c r="CG269" s="20">
        <v>12</v>
      </c>
    </row>
    <row r="270" spans="1:85" x14ac:dyDescent="0.3">
      <c r="A270" t="s">
        <v>539</v>
      </c>
      <c r="B270">
        <v>21244</v>
      </c>
      <c r="C270" t="s">
        <v>540</v>
      </c>
      <c r="D270" s="19">
        <v>35922</v>
      </c>
      <c r="E270" s="20">
        <v>1226</v>
      </c>
      <c r="F270" s="19">
        <v>5537</v>
      </c>
      <c r="G270" s="23">
        <v>1387</v>
      </c>
      <c r="H270" s="24">
        <v>1967</v>
      </c>
      <c r="I270" s="23">
        <v>733</v>
      </c>
      <c r="J270" s="24">
        <v>1782</v>
      </c>
      <c r="K270" s="23">
        <v>724</v>
      </c>
      <c r="L270" s="24">
        <v>185</v>
      </c>
      <c r="M270" s="23">
        <v>173</v>
      </c>
      <c r="N270" s="24">
        <v>3122</v>
      </c>
      <c r="O270" s="23">
        <v>747</v>
      </c>
      <c r="P270" s="24">
        <v>2451</v>
      </c>
      <c r="Q270" s="23">
        <v>645</v>
      </c>
      <c r="R270" s="24">
        <v>671</v>
      </c>
      <c r="S270" s="23">
        <v>399</v>
      </c>
      <c r="T270" s="24">
        <v>448</v>
      </c>
      <c r="U270" s="23">
        <v>209</v>
      </c>
      <c r="V270" s="24">
        <v>440</v>
      </c>
      <c r="W270" s="23">
        <v>212</v>
      </c>
      <c r="X270" s="24">
        <v>8</v>
      </c>
      <c r="Y270" s="20">
        <v>38</v>
      </c>
      <c r="Z270" s="19">
        <v>3503</v>
      </c>
      <c r="AA270" s="23">
        <v>966</v>
      </c>
      <c r="AB270" s="24">
        <v>1375</v>
      </c>
      <c r="AC270" s="23">
        <v>487</v>
      </c>
      <c r="AD270" s="24">
        <v>1200</v>
      </c>
      <c r="AE270" s="23">
        <v>466</v>
      </c>
      <c r="AF270" s="24">
        <v>175</v>
      </c>
      <c r="AG270" s="23">
        <v>151</v>
      </c>
      <c r="AH270" s="24">
        <v>1839</v>
      </c>
      <c r="AI270" s="23">
        <v>517</v>
      </c>
      <c r="AJ270" s="24">
        <v>1324</v>
      </c>
      <c r="AK270" s="23">
        <v>390</v>
      </c>
      <c r="AL270" s="24">
        <v>515</v>
      </c>
      <c r="AM270" s="23">
        <v>220</v>
      </c>
      <c r="AN270" s="24">
        <v>289</v>
      </c>
      <c r="AO270" s="23">
        <v>121</v>
      </c>
      <c r="AP270" s="24">
        <v>264</v>
      </c>
      <c r="AQ270" s="23">
        <v>115</v>
      </c>
      <c r="AR270" s="24">
        <v>25</v>
      </c>
      <c r="AS270" s="20">
        <v>41</v>
      </c>
      <c r="AT270" s="19">
        <v>10909</v>
      </c>
      <c r="AU270" s="23">
        <v>1177</v>
      </c>
      <c r="AV270" s="24">
        <v>3012</v>
      </c>
      <c r="AW270" s="23">
        <v>523</v>
      </c>
      <c r="AX270" s="24">
        <v>2806</v>
      </c>
      <c r="AY270" s="23">
        <v>531</v>
      </c>
      <c r="AZ270" s="24">
        <v>206</v>
      </c>
      <c r="BA270" s="23">
        <v>136</v>
      </c>
      <c r="BB270" s="24">
        <v>6867</v>
      </c>
      <c r="BC270" s="23">
        <v>762</v>
      </c>
      <c r="BD270" s="24">
        <v>5833</v>
      </c>
      <c r="BE270" s="23">
        <v>688</v>
      </c>
      <c r="BF270" s="24">
        <v>1034</v>
      </c>
      <c r="BG270" s="23">
        <v>361</v>
      </c>
      <c r="BH270" s="24">
        <v>1030</v>
      </c>
      <c r="BI270" s="23">
        <v>201</v>
      </c>
      <c r="BJ270" s="24">
        <v>1030</v>
      </c>
      <c r="BK270" s="23">
        <v>201</v>
      </c>
      <c r="BL270" s="24">
        <v>0</v>
      </c>
      <c r="BM270" s="20">
        <v>25</v>
      </c>
      <c r="BN270" s="19">
        <v>15973</v>
      </c>
      <c r="BO270" s="23">
        <v>1316</v>
      </c>
      <c r="BP270" s="24">
        <v>2385</v>
      </c>
      <c r="BQ270" s="23">
        <v>480</v>
      </c>
      <c r="BR270" s="24">
        <v>2362</v>
      </c>
      <c r="BS270" s="23">
        <v>479</v>
      </c>
      <c r="BT270" s="26">
        <v>23</v>
      </c>
      <c r="BU270" s="23">
        <v>25</v>
      </c>
      <c r="BV270" s="24">
        <v>11606</v>
      </c>
      <c r="BW270" s="23">
        <v>1025</v>
      </c>
      <c r="BX270" s="24">
        <v>11245</v>
      </c>
      <c r="BY270" s="23">
        <v>978</v>
      </c>
      <c r="BZ270" s="24">
        <v>361</v>
      </c>
      <c r="CA270" s="23">
        <v>167</v>
      </c>
      <c r="CB270" s="24">
        <v>1982</v>
      </c>
      <c r="CC270" s="23">
        <v>279</v>
      </c>
      <c r="CD270" s="24">
        <v>1933</v>
      </c>
      <c r="CE270" s="23">
        <v>254</v>
      </c>
      <c r="CF270" s="24">
        <v>49</v>
      </c>
      <c r="CG270" s="20">
        <v>79</v>
      </c>
    </row>
    <row r="271" spans="1:85" x14ac:dyDescent="0.3">
      <c r="A271" t="s">
        <v>541</v>
      </c>
      <c r="B271">
        <v>21250</v>
      </c>
      <c r="C271" t="s">
        <v>542</v>
      </c>
      <c r="D271" s="19">
        <v>0</v>
      </c>
      <c r="E271" s="20">
        <v>12</v>
      </c>
      <c r="F271" s="19">
        <v>0</v>
      </c>
      <c r="G271" s="23">
        <v>24</v>
      </c>
      <c r="H271" s="24">
        <v>0</v>
      </c>
      <c r="I271" s="23">
        <v>24</v>
      </c>
      <c r="J271" s="24">
        <v>0</v>
      </c>
      <c r="K271" s="23">
        <v>24</v>
      </c>
      <c r="L271" s="24">
        <v>0</v>
      </c>
      <c r="M271" s="23">
        <v>24</v>
      </c>
      <c r="N271" s="24">
        <v>0</v>
      </c>
      <c r="O271" s="23">
        <v>24</v>
      </c>
      <c r="P271" s="24">
        <v>0</v>
      </c>
      <c r="Q271" s="23">
        <v>24</v>
      </c>
      <c r="R271" s="24">
        <v>0</v>
      </c>
      <c r="S271" s="23">
        <v>24</v>
      </c>
      <c r="T271" s="24">
        <v>0</v>
      </c>
      <c r="U271" s="23">
        <v>24</v>
      </c>
      <c r="V271" s="24">
        <v>0</v>
      </c>
      <c r="W271" s="23">
        <v>24</v>
      </c>
      <c r="X271" s="24">
        <v>0</v>
      </c>
      <c r="Y271" s="20">
        <v>24</v>
      </c>
      <c r="Z271" s="19">
        <v>0</v>
      </c>
      <c r="AA271" s="23">
        <v>12</v>
      </c>
      <c r="AB271" s="24">
        <v>0</v>
      </c>
      <c r="AC271" s="23">
        <v>12</v>
      </c>
      <c r="AD271" s="24">
        <v>0</v>
      </c>
      <c r="AE271" s="23">
        <v>12</v>
      </c>
      <c r="AF271" s="24">
        <v>0</v>
      </c>
      <c r="AG271" s="23">
        <v>12</v>
      </c>
      <c r="AH271" s="24">
        <v>0</v>
      </c>
      <c r="AI271" s="23">
        <v>12</v>
      </c>
      <c r="AJ271" s="24">
        <v>0</v>
      </c>
      <c r="AK271" s="23">
        <v>12</v>
      </c>
      <c r="AL271" s="24">
        <v>0</v>
      </c>
      <c r="AM271" s="23">
        <v>12</v>
      </c>
      <c r="AN271" s="24">
        <v>0</v>
      </c>
      <c r="AO271" s="23">
        <v>12</v>
      </c>
      <c r="AP271" s="24">
        <v>0</v>
      </c>
      <c r="AQ271" s="23">
        <v>12</v>
      </c>
      <c r="AR271" s="24">
        <v>0</v>
      </c>
      <c r="AS271" s="20">
        <v>12</v>
      </c>
      <c r="AT271" s="19">
        <v>0</v>
      </c>
      <c r="AU271" s="23">
        <v>12</v>
      </c>
      <c r="AV271" s="24">
        <v>0</v>
      </c>
      <c r="AW271" s="23">
        <v>12</v>
      </c>
      <c r="AX271" s="24">
        <v>0</v>
      </c>
      <c r="AY271" s="23">
        <v>12</v>
      </c>
      <c r="AZ271" s="24">
        <v>0</v>
      </c>
      <c r="BA271" s="23">
        <v>12</v>
      </c>
      <c r="BB271" s="24">
        <v>0</v>
      </c>
      <c r="BC271" s="23">
        <v>12</v>
      </c>
      <c r="BD271" s="24">
        <v>0</v>
      </c>
      <c r="BE271" s="23">
        <v>12</v>
      </c>
      <c r="BF271" s="24">
        <v>0</v>
      </c>
      <c r="BG271" s="23">
        <v>12</v>
      </c>
      <c r="BH271" s="24">
        <v>0</v>
      </c>
      <c r="BI271" s="23">
        <v>12</v>
      </c>
      <c r="BJ271" s="24">
        <v>0</v>
      </c>
      <c r="BK271" s="23">
        <v>12</v>
      </c>
      <c r="BL271" s="24">
        <v>0</v>
      </c>
      <c r="BM271" s="20">
        <v>12</v>
      </c>
      <c r="BN271" s="19">
        <v>0</v>
      </c>
      <c r="BO271" s="23">
        <v>12</v>
      </c>
      <c r="BP271" s="24">
        <v>0</v>
      </c>
      <c r="BQ271" s="23">
        <v>12</v>
      </c>
      <c r="BR271" s="24">
        <v>0</v>
      </c>
      <c r="BS271" s="23">
        <v>12</v>
      </c>
      <c r="BT271" s="26">
        <v>0</v>
      </c>
      <c r="BU271" s="23">
        <v>12</v>
      </c>
      <c r="BV271" s="24">
        <v>0</v>
      </c>
      <c r="BW271" s="23">
        <v>12</v>
      </c>
      <c r="BX271" s="24">
        <v>0</v>
      </c>
      <c r="BY271" s="23">
        <v>12</v>
      </c>
      <c r="BZ271" s="24">
        <v>0</v>
      </c>
      <c r="CA271" s="23">
        <v>12</v>
      </c>
      <c r="CB271" s="24">
        <v>0</v>
      </c>
      <c r="CC271" s="23">
        <v>12</v>
      </c>
      <c r="CD271" s="24">
        <v>0</v>
      </c>
      <c r="CE271" s="23">
        <v>12</v>
      </c>
      <c r="CF271" s="24">
        <v>0</v>
      </c>
      <c r="CG271" s="20">
        <v>12</v>
      </c>
    </row>
    <row r="272" spans="1:85" x14ac:dyDescent="0.3">
      <c r="A272" t="s">
        <v>543</v>
      </c>
      <c r="B272">
        <v>21251</v>
      </c>
      <c r="C272" t="s">
        <v>544</v>
      </c>
      <c r="D272" s="19">
        <v>0</v>
      </c>
      <c r="E272" s="20">
        <v>12</v>
      </c>
      <c r="F272" s="19">
        <v>0</v>
      </c>
      <c r="G272" s="23">
        <v>24</v>
      </c>
      <c r="H272" s="24">
        <v>0</v>
      </c>
      <c r="I272" s="23">
        <v>24</v>
      </c>
      <c r="J272" s="24">
        <v>0</v>
      </c>
      <c r="K272" s="23">
        <v>24</v>
      </c>
      <c r="L272" s="24">
        <v>0</v>
      </c>
      <c r="M272" s="23">
        <v>24</v>
      </c>
      <c r="N272" s="24">
        <v>0</v>
      </c>
      <c r="O272" s="23">
        <v>24</v>
      </c>
      <c r="P272" s="24">
        <v>0</v>
      </c>
      <c r="Q272" s="23">
        <v>24</v>
      </c>
      <c r="R272" s="24">
        <v>0</v>
      </c>
      <c r="S272" s="23">
        <v>24</v>
      </c>
      <c r="T272" s="24">
        <v>0</v>
      </c>
      <c r="U272" s="23">
        <v>24</v>
      </c>
      <c r="V272" s="24">
        <v>0</v>
      </c>
      <c r="W272" s="23">
        <v>24</v>
      </c>
      <c r="X272" s="24">
        <v>0</v>
      </c>
      <c r="Y272" s="20">
        <v>24</v>
      </c>
      <c r="Z272" s="19">
        <v>0</v>
      </c>
      <c r="AA272" s="23">
        <v>12</v>
      </c>
      <c r="AB272" s="24">
        <v>0</v>
      </c>
      <c r="AC272" s="23">
        <v>12</v>
      </c>
      <c r="AD272" s="24">
        <v>0</v>
      </c>
      <c r="AE272" s="23">
        <v>12</v>
      </c>
      <c r="AF272" s="24">
        <v>0</v>
      </c>
      <c r="AG272" s="23">
        <v>12</v>
      </c>
      <c r="AH272" s="24">
        <v>0</v>
      </c>
      <c r="AI272" s="23">
        <v>12</v>
      </c>
      <c r="AJ272" s="24">
        <v>0</v>
      </c>
      <c r="AK272" s="23">
        <v>12</v>
      </c>
      <c r="AL272" s="24">
        <v>0</v>
      </c>
      <c r="AM272" s="23">
        <v>12</v>
      </c>
      <c r="AN272" s="24">
        <v>0</v>
      </c>
      <c r="AO272" s="23">
        <v>12</v>
      </c>
      <c r="AP272" s="24">
        <v>0</v>
      </c>
      <c r="AQ272" s="23">
        <v>12</v>
      </c>
      <c r="AR272" s="24">
        <v>0</v>
      </c>
      <c r="AS272" s="20">
        <v>12</v>
      </c>
      <c r="AT272" s="19">
        <v>0</v>
      </c>
      <c r="AU272" s="23">
        <v>12</v>
      </c>
      <c r="AV272" s="24">
        <v>0</v>
      </c>
      <c r="AW272" s="23">
        <v>12</v>
      </c>
      <c r="AX272" s="24">
        <v>0</v>
      </c>
      <c r="AY272" s="23">
        <v>12</v>
      </c>
      <c r="AZ272" s="24">
        <v>0</v>
      </c>
      <c r="BA272" s="23">
        <v>12</v>
      </c>
      <c r="BB272" s="24">
        <v>0</v>
      </c>
      <c r="BC272" s="23">
        <v>12</v>
      </c>
      <c r="BD272" s="24">
        <v>0</v>
      </c>
      <c r="BE272" s="23">
        <v>12</v>
      </c>
      <c r="BF272" s="24">
        <v>0</v>
      </c>
      <c r="BG272" s="23">
        <v>12</v>
      </c>
      <c r="BH272" s="24">
        <v>0</v>
      </c>
      <c r="BI272" s="23">
        <v>12</v>
      </c>
      <c r="BJ272" s="24">
        <v>0</v>
      </c>
      <c r="BK272" s="23">
        <v>12</v>
      </c>
      <c r="BL272" s="24">
        <v>0</v>
      </c>
      <c r="BM272" s="20">
        <v>12</v>
      </c>
      <c r="BN272" s="19">
        <v>0</v>
      </c>
      <c r="BO272" s="23">
        <v>12</v>
      </c>
      <c r="BP272" s="24">
        <v>0</v>
      </c>
      <c r="BQ272" s="23">
        <v>12</v>
      </c>
      <c r="BR272" s="24">
        <v>0</v>
      </c>
      <c r="BS272" s="23">
        <v>12</v>
      </c>
      <c r="BT272" s="26">
        <v>0</v>
      </c>
      <c r="BU272" s="23">
        <v>12</v>
      </c>
      <c r="BV272" s="24">
        <v>0</v>
      </c>
      <c r="BW272" s="23">
        <v>12</v>
      </c>
      <c r="BX272" s="24">
        <v>0</v>
      </c>
      <c r="BY272" s="23">
        <v>12</v>
      </c>
      <c r="BZ272" s="24">
        <v>0</v>
      </c>
      <c r="CA272" s="23">
        <v>12</v>
      </c>
      <c r="CB272" s="24">
        <v>0</v>
      </c>
      <c r="CC272" s="23">
        <v>12</v>
      </c>
      <c r="CD272" s="24">
        <v>0</v>
      </c>
      <c r="CE272" s="23">
        <v>12</v>
      </c>
      <c r="CF272" s="24">
        <v>0</v>
      </c>
      <c r="CG272" s="20">
        <v>12</v>
      </c>
    </row>
    <row r="273" spans="1:85" x14ac:dyDescent="0.3">
      <c r="A273" t="s">
        <v>545</v>
      </c>
      <c r="B273">
        <v>21252</v>
      </c>
      <c r="C273" t="s">
        <v>546</v>
      </c>
      <c r="D273" s="19">
        <v>0</v>
      </c>
      <c r="E273" s="20">
        <v>12</v>
      </c>
      <c r="F273" s="19">
        <v>0</v>
      </c>
      <c r="G273" s="23">
        <v>24</v>
      </c>
      <c r="H273" s="24">
        <v>0</v>
      </c>
      <c r="I273" s="23">
        <v>24</v>
      </c>
      <c r="J273" s="24">
        <v>0</v>
      </c>
      <c r="K273" s="23">
        <v>24</v>
      </c>
      <c r="L273" s="24">
        <v>0</v>
      </c>
      <c r="M273" s="23">
        <v>24</v>
      </c>
      <c r="N273" s="24">
        <v>0</v>
      </c>
      <c r="O273" s="23">
        <v>24</v>
      </c>
      <c r="P273" s="24">
        <v>0</v>
      </c>
      <c r="Q273" s="23">
        <v>24</v>
      </c>
      <c r="R273" s="24">
        <v>0</v>
      </c>
      <c r="S273" s="23">
        <v>24</v>
      </c>
      <c r="T273" s="24">
        <v>0</v>
      </c>
      <c r="U273" s="23">
        <v>24</v>
      </c>
      <c r="V273" s="24">
        <v>0</v>
      </c>
      <c r="W273" s="23">
        <v>24</v>
      </c>
      <c r="X273" s="24">
        <v>0</v>
      </c>
      <c r="Y273" s="20">
        <v>24</v>
      </c>
      <c r="Z273" s="19">
        <v>0</v>
      </c>
      <c r="AA273" s="23">
        <v>12</v>
      </c>
      <c r="AB273" s="24">
        <v>0</v>
      </c>
      <c r="AC273" s="23">
        <v>12</v>
      </c>
      <c r="AD273" s="24">
        <v>0</v>
      </c>
      <c r="AE273" s="23">
        <v>12</v>
      </c>
      <c r="AF273" s="24">
        <v>0</v>
      </c>
      <c r="AG273" s="23">
        <v>12</v>
      </c>
      <c r="AH273" s="24">
        <v>0</v>
      </c>
      <c r="AI273" s="23">
        <v>12</v>
      </c>
      <c r="AJ273" s="24">
        <v>0</v>
      </c>
      <c r="AK273" s="23">
        <v>12</v>
      </c>
      <c r="AL273" s="24">
        <v>0</v>
      </c>
      <c r="AM273" s="23">
        <v>12</v>
      </c>
      <c r="AN273" s="24">
        <v>0</v>
      </c>
      <c r="AO273" s="23">
        <v>12</v>
      </c>
      <c r="AP273" s="24">
        <v>0</v>
      </c>
      <c r="AQ273" s="23">
        <v>12</v>
      </c>
      <c r="AR273" s="24">
        <v>0</v>
      </c>
      <c r="AS273" s="20">
        <v>12</v>
      </c>
      <c r="AT273" s="19">
        <v>0</v>
      </c>
      <c r="AU273" s="23">
        <v>12</v>
      </c>
      <c r="AV273" s="24">
        <v>0</v>
      </c>
      <c r="AW273" s="23">
        <v>12</v>
      </c>
      <c r="AX273" s="24">
        <v>0</v>
      </c>
      <c r="AY273" s="23">
        <v>12</v>
      </c>
      <c r="AZ273" s="24">
        <v>0</v>
      </c>
      <c r="BA273" s="23">
        <v>12</v>
      </c>
      <c r="BB273" s="24">
        <v>0</v>
      </c>
      <c r="BC273" s="23">
        <v>12</v>
      </c>
      <c r="BD273" s="24">
        <v>0</v>
      </c>
      <c r="BE273" s="23">
        <v>12</v>
      </c>
      <c r="BF273" s="24">
        <v>0</v>
      </c>
      <c r="BG273" s="23">
        <v>12</v>
      </c>
      <c r="BH273" s="24">
        <v>0</v>
      </c>
      <c r="BI273" s="23">
        <v>12</v>
      </c>
      <c r="BJ273" s="24">
        <v>0</v>
      </c>
      <c r="BK273" s="23">
        <v>12</v>
      </c>
      <c r="BL273" s="24">
        <v>0</v>
      </c>
      <c r="BM273" s="20">
        <v>12</v>
      </c>
      <c r="BN273" s="19">
        <v>0</v>
      </c>
      <c r="BO273" s="23">
        <v>12</v>
      </c>
      <c r="BP273" s="24">
        <v>0</v>
      </c>
      <c r="BQ273" s="23">
        <v>12</v>
      </c>
      <c r="BR273" s="24">
        <v>0</v>
      </c>
      <c r="BS273" s="23">
        <v>12</v>
      </c>
      <c r="BT273" s="26">
        <v>0</v>
      </c>
      <c r="BU273" s="23">
        <v>12</v>
      </c>
      <c r="BV273" s="24">
        <v>0</v>
      </c>
      <c r="BW273" s="23">
        <v>12</v>
      </c>
      <c r="BX273" s="24">
        <v>0</v>
      </c>
      <c r="BY273" s="23">
        <v>12</v>
      </c>
      <c r="BZ273" s="24">
        <v>0</v>
      </c>
      <c r="CA273" s="23">
        <v>12</v>
      </c>
      <c r="CB273" s="24">
        <v>0</v>
      </c>
      <c r="CC273" s="23">
        <v>12</v>
      </c>
      <c r="CD273" s="24">
        <v>0</v>
      </c>
      <c r="CE273" s="23">
        <v>12</v>
      </c>
      <c r="CF273" s="24">
        <v>0</v>
      </c>
      <c r="CG273" s="20">
        <v>12</v>
      </c>
    </row>
    <row r="274" spans="1:85" x14ac:dyDescent="0.3">
      <c r="A274" t="s">
        <v>547</v>
      </c>
      <c r="B274">
        <v>21286</v>
      </c>
      <c r="C274" t="s">
        <v>548</v>
      </c>
      <c r="D274" s="19">
        <v>18285</v>
      </c>
      <c r="E274" s="20">
        <v>677</v>
      </c>
      <c r="F274" s="19">
        <v>2403</v>
      </c>
      <c r="G274" s="23">
        <v>581</v>
      </c>
      <c r="H274" s="24">
        <v>297</v>
      </c>
      <c r="I274" s="23">
        <v>190</v>
      </c>
      <c r="J274" s="24">
        <v>272</v>
      </c>
      <c r="K274" s="23">
        <v>152</v>
      </c>
      <c r="L274" s="24">
        <v>25</v>
      </c>
      <c r="M274" s="23">
        <v>60</v>
      </c>
      <c r="N274" s="24">
        <v>1753</v>
      </c>
      <c r="O274" s="23">
        <v>454</v>
      </c>
      <c r="P274" s="24">
        <v>1515</v>
      </c>
      <c r="Q274" s="23">
        <v>447</v>
      </c>
      <c r="R274" s="24">
        <v>238</v>
      </c>
      <c r="S274" s="23">
        <v>130</v>
      </c>
      <c r="T274" s="24">
        <v>353</v>
      </c>
      <c r="U274" s="23">
        <v>149</v>
      </c>
      <c r="V274" s="24">
        <v>341</v>
      </c>
      <c r="W274" s="23">
        <v>149</v>
      </c>
      <c r="X274" s="24">
        <v>12</v>
      </c>
      <c r="Y274" s="20">
        <v>38</v>
      </c>
      <c r="Z274" s="19">
        <v>882</v>
      </c>
      <c r="AA274" s="23">
        <v>228</v>
      </c>
      <c r="AB274" s="24">
        <v>118</v>
      </c>
      <c r="AC274" s="23">
        <v>77</v>
      </c>
      <c r="AD274" s="24">
        <v>118</v>
      </c>
      <c r="AE274" s="23">
        <v>77</v>
      </c>
      <c r="AF274" s="24">
        <v>0</v>
      </c>
      <c r="AG274" s="23">
        <v>22</v>
      </c>
      <c r="AH274" s="24">
        <v>526</v>
      </c>
      <c r="AI274" s="23">
        <v>177</v>
      </c>
      <c r="AJ274" s="24">
        <v>472</v>
      </c>
      <c r="AK274" s="23">
        <v>171</v>
      </c>
      <c r="AL274" s="24">
        <v>54</v>
      </c>
      <c r="AM274" s="23">
        <v>36</v>
      </c>
      <c r="AN274" s="24">
        <v>238</v>
      </c>
      <c r="AO274" s="23">
        <v>72</v>
      </c>
      <c r="AP274" s="24">
        <v>238</v>
      </c>
      <c r="AQ274" s="23">
        <v>72</v>
      </c>
      <c r="AR274" s="24">
        <v>0</v>
      </c>
      <c r="AS274" s="20">
        <v>22</v>
      </c>
      <c r="AT274" s="19">
        <v>3727</v>
      </c>
      <c r="AU274" s="23">
        <v>481</v>
      </c>
      <c r="AV274" s="24">
        <v>628</v>
      </c>
      <c r="AW274" s="23">
        <v>164</v>
      </c>
      <c r="AX274" s="24">
        <v>608</v>
      </c>
      <c r="AY274" s="23">
        <v>159</v>
      </c>
      <c r="AZ274" s="24">
        <v>20</v>
      </c>
      <c r="BA274" s="23">
        <v>26</v>
      </c>
      <c r="BB274" s="24">
        <v>2036</v>
      </c>
      <c r="BC274" s="23">
        <v>348</v>
      </c>
      <c r="BD274" s="24">
        <v>1901</v>
      </c>
      <c r="BE274" s="23">
        <v>330</v>
      </c>
      <c r="BF274" s="24">
        <v>135</v>
      </c>
      <c r="BG274" s="23">
        <v>88</v>
      </c>
      <c r="BH274" s="24">
        <v>1063</v>
      </c>
      <c r="BI274" s="23">
        <v>195</v>
      </c>
      <c r="BJ274" s="24">
        <v>1063</v>
      </c>
      <c r="BK274" s="23">
        <v>195</v>
      </c>
      <c r="BL274" s="24">
        <v>0</v>
      </c>
      <c r="BM274" s="20">
        <v>22</v>
      </c>
      <c r="BN274" s="19">
        <v>11273</v>
      </c>
      <c r="BO274" s="23">
        <v>704</v>
      </c>
      <c r="BP274" s="24">
        <v>2342</v>
      </c>
      <c r="BQ274" s="23">
        <v>253</v>
      </c>
      <c r="BR274" s="24">
        <v>2306</v>
      </c>
      <c r="BS274" s="23">
        <v>248</v>
      </c>
      <c r="BT274" s="26">
        <v>36</v>
      </c>
      <c r="BU274" s="23">
        <v>45</v>
      </c>
      <c r="BV274" s="24">
        <v>6659</v>
      </c>
      <c r="BW274" s="23">
        <v>476</v>
      </c>
      <c r="BX274" s="24">
        <v>6587</v>
      </c>
      <c r="BY274" s="23">
        <v>469</v>
      </c>
      <c r="BZ274" s="24">
        <v>72</v>
      </c>
      <c r="CA274" s="23">
        <v>50</v>
      </c>
      <c r="CB274" s="24">
        <v>2272</v>
      </c>
      <c r="CC274" s="23">
        <v>263</v>
      </c>
      <c r="CD274" s="24">
        <v>2191</v>
      </c>
      <c r="CE274" s="23">
        <v>243</v>
      </c>
      <c r="CF274" s="24">
        <v>81</v>
      </c>
      <c r="CG274" s="20">
        <v>93</v>
      </c>
    </row>
    <row r="275" spans="1:85" x14ac:dyDescent="0.3">
      <c r="A275" t="s">
        <v>549</v>
      </c>
      <c r="B275">
        <v>21401</v>
      </c>
      <c r="C275" t="s">
        <v>550</v>
      </c>
      <c r="D275" s="19">
        <v>34880</v>
      </c>
      <c r="E275" s="20">
        <v>1107</v>
      </c>
      <c r="F275" s="19">
        <v>3528</v>
      </c>
      <c r="G275" s="23">
        <v>987</v>
      </c>
      <c r="H275" s="24">
        <v>1003</v>
      </c>
      <c r="I275" s="23">
        <v>614</v>
      </c>
      <c r="J275" s="24">
        <v>985</v>
      </c>
      <c r="K275" s="23">
        <v>613</v>
      </c>
      <c r="L275" s="24">
        <v>18</v>
      </c>
      <c r="M275" s="23">
        <v>55</v>
      </c>
      <c r="N275" s="24">
        <v>1815</v>
      </c>
      <c r="O275" s="23">
        <v>520</v>
      </c>
      <c r="P275" s="24">
        <v>1312</v>
      </c>
      <c r="Q275" s="23">
        <v>432</v>
      </c>
      <c r="R275" s="24">
        <v>503</v>
      </c>
      <c r="S275" s="23">
        <v>296</v>
      </c>
      <c r="T275" s="24">
        <v>710</v>
      </c>
      <c r="U275" s="23">
        <v>298</v>
      </c>
      <c r="V275" s="24">
        <v>695</v>
      </c>
      <c r="W275" s="23">
        <v>296</v>
      </c>
      <c r="X275" s="24">
        <v>15</v>
      </c>
      <c r="Y275" s="20">
        <v>49</v>
      </c>
      <c r="Z275" s="19">
        <v>2324</v>
      </c>
      <c r="AA275" s="23">
        <v>628</v>
      </c>
      <c r="AB275" s="24">
        <v>544</v>
      </c>
      <c r="AC275" s="23">
        <v>233</v>
      </c>
      <c r="AD275" s="24">
        <v>544</v>
      </c>
      <c r="AE275" s="23">
        <v>233</v>
      </c>
      <c r="AF275" s="24">
        <v>0</v>
      </c>
      <c r="AG275" s="23">
        <v>25</v>
      </c>
      <c r="AH275" s="24">
        <v>1412</v>
      </c>
      <c r="AI275" s="23">
        <v>423</v>
      </c>
      <c r="AJ275" s="24">
        <v>1143</v>
      </c>
      <c r="AK275" s="23">
        <v>342</v>
      </c>
      <c r="AL275" s="24">
        <v>269</v>
      </c>
      <c r="AM275" s="23">
        <v>253</v>
      </c>
      <c r="AN275" s="24">
        <v>368</v>
      </c>
      <c r="AO275" s="23">
        <v>132</v>
      </c>
      <c r="AP275" s="24">
        <v>368</v>
      </c>
      <c r="AQ275" s="23">
        <v>132</v>
      </c>
      <c r="AR275" s="24">
        <v>0</v>
      </c>
      <c r="AS275" s="20">
        <v>25</v>
      </c>
      <c r="AT275" s="19">
        <v>7077</v>
      </c>
      <c r="AU275" s="23">
        <v>876</v>
      </c>
      <c r="AV275" s="24">
        <v>1054</v>
      </c>
      <c r="AW275" s="23">
        <v>320</v>
      </c>
      <c r="AX275" s="24">
        <v>1054</v>
      </c>
      <c r="AY275" s="23">
        <v>320</v>
      </c>
      <c r="AZ275" s="24">
        <v>0</v>
      </c>
      <c r="BA275" s="23">
        <v>25</v>
      </c>
      <c r="BB275" s="24">
        <v>4611</v>
      </c>
      <c r="BC275" s="23">
        <v>687</v>
      </c>
      <c r="BD275" s="24">
        <v>3800</v>
      </c>
      <c r="BE275" s="23">
        <v>579</v>
      </c>
      <c r="BF275" s="24">
        <v>811</v>
      </c>
      <c r="BG275" s="23">
        <v>259</v>
      </c>
      <c r="BH275" s="24">
        <v>1412</v>
      </c>
      <c r="BI275" s="23">
        <v>282</v>
      </c>
      <c r="BJ275" s="24">
        <v>1412</v>
      </c>
      <c r="BK275" s="23">
        <v>282</v>
      </c>
      <c r="BL275" s="24">
        <v>0</v>
      </c>
      <c r="BM275" s="20">
        <v>25</v>
      </c>
      <c r="BN275" s="19">
        <v>21951</v>
      </c>
      <c r="BO275" s="23">
        <v>1196</v>
      </c>
      <c r="BP275" s="24">
        <v>3499</v>
      </c>
      <c r="BQ275" s="23">
        <v>410</v>
      </c>
      <c r="BR275" s="24">
        <v>3499</v>
      </c>
      <c r="BS275" s="23">
        <v>410</v>
      </c>
      <c r="BT275" s="26">
        <v>0</v>
      </c>
      <c r="BU275" s="23">
        <v>25</v>
      </c>
      <c r="BV275" s="24">
        <v>12778</v>
      </c>
      <c r="BW275" s="23">
        <v>779</v>
      </c>
      <c r="BX275" s="24">
        <v>12527</v>
      </c>
      <c r="BY275" s="23">
        <v>787</v>
      </c>
      <c r="BZ275" s="24">
        <v>251</v>
      </c>
      <c r="CA275" s="23">
        <v>115</v>
      </c>
      <c r="CB275" s="24">
        <v>5674</v>
      </c>
      <c r="CC275" s="23">
        <v>447</v>
      </c>
      <c r="CD275" s="24">
        <v>5670</v>
      </c>
      <c r="CE275" s="23">
        <v>446</v>
      </c>
      <c r="CF275" s="24">
        <v>4</v>
      </c>
      <c r="CG275" s="20">
        <v>6</v>
      </c>
    </row>
    <row r="276" spans="1:85" x14ac:dyDescent="0.3">
      <c r="A276" t="s">
        <v>551</v>
      </c>
      <c r="B276">
        <v>21402</v>
      </c>
      <c r="C276" t="s">
        <v>552</v>
      </c>
      <c r="D276" s="19">
        <v>677</v>
      </c>
      <c r="E276" s="20">
        <v>200</v>
      </c>
      <c r="F276" s="19">
        <v>24</v>
      </c>
      <c r="G276" s="23">
        <v>34</v>
      </c>
      <c r="H276" s="24">
        <v>13</v>
      </c>
      <c r="I276" s="23">
        <v>18</v>
      </c>
      <c r="J276" s="24">
        <v>13</v>
      </c>
      <c r="K276" s="23">
        <v>18</v>
      </c>
      <c r="L276" s="24">
        <v>0</v>
      </c>
      <c r="M276" s="23">
        <v>34</v>
      </c>
      <c r="N276" s="24">
        <v>11</v>
      </c>
      <c r="O276" s="23">
        <v>16</v>
      </c>
      <c r="P276" s="24">
        <v>11</v>
      </c>
      <c r="Q276" s="23">
        <v>16</v>
      </c>
      <c r="R276" s="24">
        <v>0</v>
      </c>
      <c r="S276" s="23">
        <v>34</v>
      </c>
      <c r="T276" s="24">
        <v>0</v>
      </c>
      <c r="U276" s="23">
        <v>34</v>
      </c>
      <c r="V276" s="24">
        <v>0</v>
      </c>
      <c r="W276" s="23">
        <v>34</v>
      </c>
      <c r="X276" s="24">
        <v>0</v>
      </c>
      <c r="Y276" s="20">
        <v>34</v>
      </c>
      <c r="Z276" s="19">
        <v>124</v>
      </c>
      <c r="AA276" s="23">
        <v>130</v>
      </c>
      <c r="AB276" s="24">
        <v>71</v>
      </c>
      <c r="AC276" s="23">
        <v>75</v>
      </c>
      <c r="AD276" s="24">
        <v>71</v>
      </c>
      <c r="AE276" s="23">
        <v>75</v>
      </c>
      <c r="AF276" s="24">
        <v>0</v>
      </c>
      <c r="AG276" s="23">
        <v>17</v>
      </c>
      <c r="AH276" s="24">
        <v>53</v>
      </c>
      <c r="AI276" s="23">
        <v>57</v>
      </c>
      <c r="AJ276" s="24">
        <v>35</v>
      </c>
      <c r="AK276" s="23">
        <v>34</v>
      </c>
      <c r="AL276" s="24">
        <v>18</v>
      </c>
      <c r="AM276" s="23">
        <v>29</v>
      </c>
      <c r="AN276" s="24">
        <v>0</v>
      </c>
      <c r="AO276" s="23">
        <v>17</v>
      </c>
      <c r="AP276" s="24">
        <v>0</v>
      </c>
      <c r="AQ276" s="23">
        <v>17</v>
      </c>
      <c r="AR276" s="24">
        <v>0</v>
      </c>
      <c r="AS276" s="20">
        <v>17</v>
      </c>
      <c r="AT276" s="19">
        <v>333</v>
      </c>
      <c r="AU276" s="23">
        <v>165</v>
      </c>
      <c r="AV276" s="24">
        <v>111</v>
      </c>
      <c r="AW276" s="23">
        <v>69</v>
      </c>
      <c r="AX276" s="24">
        <v>111</v>
      </c>
      <c r="AY276" s="23">
        <v>69</v>
      </c>
      <c r="AZ276" s="24">
        <v>0</v>
      </c>
      <c r="BA276" s="23">
        <v>17</v>
      </c>
      <c r="BB276" s="24">
        <v>218</v>
      </c>
      <c r="BC276" s="23">
        <v>107</v>
      </c>
      <c r="BD276" s="24">
        <v>218</v>
      </c>
      <c r="BE276" s="23">
        <v>107</v>
      </c>
      <c r="BF276" s="24">
        <v>0</v>
      </c>
      <c r="BG276" s="23">
        <v>17</v>
      </c>
      <c r="BH276" s="24">
        <v>4</v>
      </c>
      <c r="BI276" s="23">
        <v>6</v>
      </c>
      <c r="BJ276" s="24">
        <v>4</v>
      </c>
      <c r="BK276" s="23">
        <v>6</v>
      </c>
      <c r="BL276" s="24">
        <v>0</v>
      </c>
      <c r="BM276" s="20">
        <v>17</v>
      </c>
      <c r="BN276" s="19">
        <v>196</v>
      </c>
      <c r="BO276" s="23">
        <v>58</v>
      </c>
      <c r="BP276" s="24">
        <v>34</v>
      </c>
      <c r="BQ276" s="23">
        <v>21</v>
      </c>
      <c r="BR276" s="24">
        <v>34</v>
      </c>
      <c r="BS276" s="23">
        <v>21</v>
      </c>
      <c r="BT276" s="26">
        <v>0</v>
      </c>
      <c r="BU276" s="23">
        <v>17</v>
      </c>
      <c r="BV276" s="24">
        <v>158</v>
      </c>
      <c r="BW276" s="23">
        <v>47</v>
      </c>
      <c r="BX276" s="24">
        <v>153</v>
      </c>
      <c r="BY276" s="23">
        <v>47</v>
      </c>
      <c r="BZ276" s="24">
        <v>5</v>
      </c>
      <c r="CA276" s="23">
        <v>7</v>
      </c>
      <c r="CB276" s="24">
        <v>4</v>
      </c>
      <c r="CC276" s="23">
        <v>6</v>
      </c>
      <c r="CD276" s="24">
        <v>4</v>
      </c>
      <c r="CE276" s="23">
        <v>6</v>
      </c>
      <c r="CF276" s="24">
        <v>0</v>
      </c>
      <c r="CG276" s="20">
        <v>17</v>
      </c>
    </row>
    <row r="277" spans="1:85" x14ac:dyDescent="0.3">
      <c r="A277" t="s">
        <v>553</v>
      </c>
      <c r="B277">
        <v>21403</v>
      </c>
      <c r="C277" t="s">
        <v>554</v>
      </c>
      <c r="D277" s="19">
        <v>30502</v>
      </c>
      <c r="E277" s="20">
        <v>1019</v>
      </c>
      <c r="F277" s="19">
        <v>3833</v>
      </c>
      <c r="G277" s="23">
        <v>1119</v>
      </c>
      <c r="H277" s="24">
        <v>1081</v>
      </c>
      <c r="I277" s="23">
        <v>540</v>
      </c>
      <c r="J277" s="24">
        <v>1014</v>
      </c>
      <c r="K277" s="23">
        <v>530</v>
      </c>
      <c r="L277" s="24">
        <v>67</v>
      </c>
      <c r="M277" s="23">
        <v>81</v>
      </c>
      <c r="N277" s="24">
        <v>2371</v>
      </c>
      <c r="O277" s="23">
        <v>660</v>
      </c>
      <c r="P277" s="24">
        <v>1677</v>
      </c>
      <c r="Q277" s="23">
        <v>570</v>
      </c>
      <c r="R277" s="24">
        <v>694</v>
      </c>
      <c r="S277" s="23">
        <v>374</v>
      </c>
      <c r="T277" s="24">
        <v>381</v>
      </c>
      <c r="U277" s="23">
        <v>223</v>
      </c>
      <c r="V277" s="24">
        <v>381</v>
      </c>
      <c r="W277" s="23">
        <v>223</v>
      </c>
      <c r="X277" s="24">
        <v>0</v>
      </c>
      <c r="Y277" s="20">
        <v>50</v>
      </c>
      <c r="Z277" s="19">
        <v>3143</v>
      </c>
      <c r="AA277" s="23">
        <v>1220</v>
      </c>
      <c r="AB277" s="24">
        <v>1119</v>
      </c>
      <c r="AC277" s="23">
        <v>706</v>
      </c>
      <c r="AD277" s="24">
        <v>1047</v>
      </c>
      <c r="AE277" s="23">
        <v>645</v>
      </c>
      <c r="AF277" s="24">
        <v>72</v>
      </c>
      <c r="AG277" s="23">
        <v>81</v>
      </c>
      <c r="AH277" s="24">
        <v>1726</v>
      </c>
      <c r="AI277" s="23">
        <v>611</v>
      </c>
      <c r="AJ277" s="24">
        <v>906</v>
      </c>
      <c r="AK277" s="23">
        <v>393</v>
      </c>
      <c r="AL277" s="24">
        <v>820</v>
      </c>
      <c r="AM277" s="23">
        <v>398</v>
      </c>
      <c r="AN277" s="24">
        <v>298</v>
      </c>
      <c r="AO277" s="23">
        <v>135</v>
      </c>
      <c r="AP277" s="24">
        <v>298</v>
      </c>
      <c r="AQ277" s="23">
        <v>135</v>
      </c>
      <c r="AR277" s="24">
        <v>0</v>
      </c>
      <c r="AS277" s="20">
        <v>25</v>
      </c>
      <c r="AT277" s="19">
        <v>6667</v>
      </c>
      <c r="AU277" s="23">
        <v>1204</v>
      </c>
      <c r="AV277" s="24">
        <v>1661</v>
      </c>
      <c r="AW277" s="23">
        <v>560</v>
      </c>
      <c r="AX277" s="24">
        <v>1543</v>
      </c>
      <c r="AY277" s="23">
        <v>499</v>
      </c>
      <c r="AZ277" s="24">
        <v>118</v>
      </c>
      <c r="BA277" s="23">
        <v>112</v>
      </c>
      <c r="BB277" s="24">
        <v>3677</v>
      </c>
      <c r="BC277" s="23">
        <v>631</v>
      </c>
      <c r="BD277" s="24">
        <v>3143</v>
      </c>
      <c r="BE277" s="23">
        <v>521</v>
      </c>
      <c r="BF277" s="24">
        <v>534</v>
      </c>
      <c r="BG277" s="23">
        <v>232</v>
      </c>
      <c r="BH277" s="24">
        <v>1329</v>
      </c>
      <c r="BI277" s="23">
        <v>236</v>
      </c>
      <c r="BJ277" s="24">
        <v>1246</v>
      </c>
      <c r="BK277" s="23">
        <v>228</v>
      </c>
      <c r="BL277" s="24">
        <v>83</v>
      </c>
      <c r="BM277" s="20">
        <v>89</v>
      </c>
      <c r="BN277" s="19">
        <v>16859</v>
      </c>
      <c r="BO277" s="23">
        <v>1065</v>
      </c>
      <c r="BP277" s="24">
        <v>2505</v>
      </c>
      <c r="BQ277" s="23">
        <v>324</v>
      </c>
      <c r="BR277" s="24">
        <v>2476</v>
      </c>
      <c r="BS277" s="23">
        <v>323</v>
      </c>
      <c r="BT277" s="26">
        <v>29</v>
      </c>
      <c r="BU277" s="23">
        <v>39</v>
      </c>
      <c r="BV277" s="24">
        <v>11120</v>
      </c>
      <c r="BW277" s="23">
        <v>805</v>
      </c>
      <c r="BX277" s="24">
        <v>10529</v>
      </c>
      <c r="BY277" s="23">
        <v>643</v>
      </c>
      <c r="BZ277" s="24">
        <v>591</v>
      </c>
      <c r="CA277" s="23">
        <v>355</v>
      </c>
      <c r="CB277" s="24">
        <v>3234</v>
      </c>
      <c r="CC277" s="23">
        <v>315</v>
      </c>
      <c r="CD277" s="24">
        <v>3234</v>
      </c>
      <c r="CE277" s="23">
        <v>315</v>
      </c>
      <c r="CF277" s="24">
        <v>0</v>
      </c>
      <c r="CG277" s="20">
        <v>25</v>
      </c>
    </row>
    <row r="278" spans="1:85" x14ac:dyDescent="0.3">
      <c r="A278" t="s">
        <v>555</v>
      </c>
      <c r="B278">
        <v>21405</v>
      </c>
      <c r="C278" t="s">
        <v>556</v>
      </c>
      <c r="D278" s="19">
        <v>360</v>
      </c>
      <c r="E278" s="20">
        <v>132</v>
      </c>
      <c r="F278" s="19">
        <v>9</v>
      </c>
      <c r="G278" s="23">
        <v>25</v>
      </c>
      <c r="H278" s="24">
        <v>0</v>
      </c>
      <c r="I278" s="23">
        <v>24</v>
      </c>
      <c r="J278" s="24">
        <v>0</v>
      </c>
      <c r="K278" s="23">
        <v>24</v>
      </c>
      <c r="L278" s="24">
        <v>0</v>
      </c>
      <c r="M278" s="23">
        <v>24</v>
      </c>
      <c r="N278" s="24">
        <v>0</v>
      </c>
      <c r="O278" s="23">
        <v>24</v>
      </c>
      <c r="P278" s="24">
        <v>0</v>
      </c>
      <c r="Q278" s="23">
        <v>24</v>
      </c>
      <c r="R278" s="24">
        <v>0</v>
      </c>
      <c r="S278" s="23">
        <v>24</v>
      </c>
      <c r="T278" s="24">
        <v>9</v>
      </c>
      <c r="U278" s="23">
        <v>25</v>
      </c>
      <c r="V278" s="24">
        <v>9</v>
      </c>
      <c r="W278" s="23">
        <v>25</v>
      </c>
      <c r="X278" s="24">
        <v>0</v>
      </c>
      <c r="Y278" s="20">
        <v>24</v>
      </c>
      <c r="Z278" s="19">
        <v>0</v>
      </c>
      <c r="AA278" s="23">
        <v>12</v>
      </c>
      <c r="AB278" s="24">
        <v>0</v>
      </c>
      <c r="AC278" s="23">
        <v>12</v>
      </c>
      <c r="AD278" s="24">
        <v>0</v>
      </c>
      <c r="AE278" s="23">
        <v>12</v>
      </c>
      <c r="AF278" s="24">
        <v>0</v>
      </c>
      <c r="AG278" s="23">
        <v>12</v>
      </c>
      <c r="AH278" s="24">
        <v>0</v>
      </c>
      <c r="AI278" s="23">
        <v>12</v>
      </c>
      <c r="AJ278" s="24">
        <v>0</v>
      </c>
      <c r="AK278" s="23">
        <v>12</v>
      </c>
      <c r="AL278" s="24">
        <v>0</v>
      </c>
      <c r="AM278" s="23">
        <v>12</v>
      </c>
      <c r="AN278" s="24">
        <v>0</v>
      </c>
      <c r="AO278" s="23">
        <v>12</v>
      </c>
      <c r="AP278" s="24">
        <v>0</v>
      </c>
      <c r="AQ278" s="23">
        <v>12</v>
      </c>
      <c r="AR278" s="24">
        <v>0</v>
      </c>
      <c r="AS278" s="20">
        <v>12</v>
      </c>
      <c r="AT278" s="19">
        <v>10</v>
      </c>
      <c r="AU278" s="23">
        <v>15</v>
      </c>
      <c r="AV278" s="24">
        <v>0</v>
      </c>
      <c r="AW278" s="23">
        <v>12</v>
      </c>
      <c r="AX278" s="24">
        <v>0</v>
      </c>
      <c r="AY278" s="23">
        <v>12</v>
      </c>
      <c r="AZ278" s="24">
        <v>0</v>
      </c>
      <c r="BA278" s="23">
        <v>12</v>
      </c>
      <c r="BB278" s="24">
        <v>10</v>
      </c>
      <c r="BC278" s="23">
        <v>15</v>
      </c>
      <c r="BD278" s="24">
        <v>10</v>
      </c>
      <c r="BE278" s="23">
        <v>15</v>
      </c>
      <c r="BF278" s="24">
        <v>0</v>
      </c>
      <c r="BG278" s="23">
        <v>12</v>
      </c>
      <c r="BH278" s="24">
        <v>0</v>
      </c>
      <c r="BI278" s="23">
        <v>12</v>
      </c>
      <c r="BJ278" s="24">
        <v>0</v>
      </c>
      <c r="BK278" s="23">
        <v>12</v>
      </c>
      <c r="BL278" s="24">
        <v>0</v>
      </c>
      <c r="BM278" s="20">
        <v>12</v>
      </c>
      <c r="BN278" s="19">
        <v>341</v>
      </c>
      <c r="BO278" s="23">
        <v>131</v>
      </c>
      <c r="BP278" s="24">
        <v>67</v>
      </c>
      <c r="BQ278" s="23">
        <v>67</v>
      </c>
      <c r="BR278" s="24">
        <v>67</v>
      </c>
      <c r="BS278" s="23">
        <v>67</v>
      </c>
      <c r="BT278" s="26">
        <v>0</v>
      </c>
      <c r="BU278" s="23">
        <v>12</v>
      </c>
      <c r="BV278" s="24">
        <v>123</v>
      </c>
      <c r="BW278" s="23">
        <v>83</v>
      </c>
      <c r="BX278" s="24">
        <v>123</v>
      </c>
      <c r="BY278" s="23">
        <v>83</v>
      </c>
      <c r="BZ278" s="24">
        <v>0</v>
      </c>
      <c r="CA278" s="23">
        <v>12</v>
      </c>
      <c r="CB278" s="24">
        <v>151</v>
      </c>
      <c r="CC278" s="23">
        <v>61</v>
      </c>
      <c r="CD278" s="24">
        <v>151</v>
      </c>
      <c r="CE278" s="23">
        <v>61</v>
      </c>
      <c r="CF278" s="24">
        <v>0</v>
      </c>
      <c r="CG278" s="20">
        <v>12</v>
      </c>
    </row>
    <row r="279" spans="1:85" x14ac:dyDescent="0.3">
      <c r="A279" t="s">
        <v>557</v>
      </c>
      <c r="B279">
        <v>21409</v>
      </c>
      <c r="C279" t="s">
        <v>558</v>
      </c>
      <c r="D279" s="19">
        <v>20255</v>
      </c>
      <c r="E279" s="20">
        <v>693</v>
      </c>
      <c r="F279" s="19">
        <v>1101</v>
      </c>
      <c r="G279" s="23">
        <v>377</v>
      </c>
      <c r="H279" s="24">
        <v>177</v>
      </c>
      <c r="I279" s="23">
        <v>124</v>
      </c>
      <c r="J279" s="24">
        <v>177</v>
      </c>
      <c r="K279" s="23">
        <v>124</v>
      </c>
      <c r="L279" s="24">
        <v>0</v>
      </c>
      <c r="M279" s="23">
        <v>44</v>
      </c>
      <c r="N279" s="24">
        <v>640</v>
      </c>
      <c r="O279" s="23">
        <v>329</v>
      </c>
      <c r="P279" s="24">
        <v>471</v>
      </c>
      <c r="Q279" s="23">
        <v>272</v>
      </c>
      <c r="R279" s="24">
        <v>169</v>
      </c>
      <c r="S279" s="23">
        <v>147</v>
      </c>
      <c r="T279" s="24">
        <v>284</v>
      </c>
      <c r="U279" s="23">
        <v>135</v>
      </c>
      <c r="V279" s="24">
        <v>284</v>
      </c>
      <c r="W279" s="23">
        <v>135</v>
      </c>
      <c r="X279" s="24">
        <v>0</v>
      </c>
      <c r="Y279" s="20">
        <v>44</v>
      </c>
      <c r="Z279" s="19">
        <v>926</v>
      </c>
      <c r="AA279" s="23">
        <v>310</v>
      </c>
      <c r="AB279" s="24">
        <v>365</v>
      </c>
      <c r="AC279" s="23">
        <v>162</v>
      </c>
      <c r="AD279" s="24">
        <v>343</v>
      </c>
      <c r="AE279" s="23">
        <v>157</v>
      </c>
      <c r="AF279" s="24">
        <v>22</v>
      </c>
      <c r="AG279" s="23">
        <v>34</v>
      </c>
      <c r="AH279" s="24">
        <v>415</v>
      </c>
      <c r="AI279" s="23">
        <v>154</v>
      </c>
      <c r="AJ279" s="24">
        <v>357</v>
      </c>
      <c r="AK279" s="23">
        <v>143</v>
      </c>
      <c r="AL279" s="24">
        <v>58</v>
      </c>
      <c r="AM279" s="23">
        <v>49</v>
      </c>
      <c r="AN279" s="24">
        <v>146</v>
      </c>
      <c r="AO279" s="23">
        <v>72</v>
      </c>
      <c r="AP279" s="24">
        <v>146</v>
      </c>
      <c r="AQ279" s="23">
        <v>72</v>
      </c>
      <c r="AR279" s="24">
        <v>0</v>
      </c>
      <c r="AS279" s="20">
        <v>22</v>
      </c>
      <c r="AT279" s="19">
        <v>3706</v>
      </c>
      <c r="AU279" s="23">
        <v>676</v>
      </c>
      <c r="AV279" s="24">
        <v>970</v>
      </c>
      <c r="AW279" s="23">
        <v>219</v>
      </c>
      <c r="AX279" s="24">
        <v>952</v>
      </c>
      <c r="AY279" s="23">
        <v>215</v>
      </c>
      <c r="AZ279" s="24">
        <v>18</v>
      </c>
      <c r="BA279" s="23">
        <v>20</v>
      </c>
      <c r="BB279" s="24">
        <v>2052</v>
      </c>
      <c r="BC279" s="23">
        <v>451</v>
      </c>
      <c r="BD279" s="24">
        <v>1823</v>
      </c>
      <c r="BE279" s="23">
        <v>394</v>
      </c>
      <c r="BF279" s="24">
        <v>229</v>
      </c>
      <c r="BG279" s="23">
        <v>191</v>
      </c>
      <c r="BH279" s="24">
        <v>684</v>
      </c>
      <c r="BI279" s="23">
        <v>190</v>
      </c>
      <c r="BJ279" s="24">
        <v>684</v>
      </c>
      <c r="BK279" s="23">
        <v>190</v>
      </c>
      <c r="BL279" s="24">
        <v>0</v>
      </c>
      <c r="BM279" s="20">
        <v>22</v>
      </c>
      <c r="BN279" s="19">
        <v>14522</v>
      </c>
      <c r="BO279" s="23">
        <v>865</v>
      </c>
      <c r="BP279" s="24">
        <v>3311</v>
      </c>
      <c r="BQ279" s="23">
        <v>387</v>
      </c>
      <c r="BR279" s="24">
        <v>3275</v>
      </c>
      <c r="BS279" s="23">
        <v>390</v>
      </c>
      <c r="BT279" s="26">
        <v>36</v>
      </c>
      <c r="BU279" s="23">
        <v>31</v>
      </c>
      <c r="BV279" s="24">
        <v>8879</v>
      </c>
      <c r="BW279" s="23">
        <v>550</v>
      </c>
      <c r="BX279" s="24">
        <v>8683</v>
      </c>
      <c r="BY279" s="23">
        <v>551</v>
      </c>
      <c r="BZ279" s="24">
        <v>196</v>
      </c>
      <c r="CA279" s="23">
        <v>81</v>
      </c>
      <c r="CB279" s="24">
        <v>2332</v>
      </c>
      <c r="CC279" s="23">
        <v>223</v>
      </c>
      <c r="CD279" s="24">
        <v>2332</v>
      </c>
      <c r="CE279" s="23">
        <v>223</v>
      </c>
      <c r="CF279" s="24">
        <v>0</v>
      </c>
      <c r="CG279" s="20">
        <v>22</v>
      </c>
    </row>
    <row r="280" spans="1:85" x14ac:dyDescent="0.3">
      <c r="A280" t="s">
        <v>559</v>
      </c>
      <c r="B280">
        <v>21502</v>
      </c>
      <c r="C280" t="s">
        <v>560</v>
      </c>
      <c r="D280" s="19">
        <v>37545</v>
      </c>
      <c r="E280" s="20">
        <v>674</v>
      </c>
      <c r="F280" s="19">
        <v>10724</v>
      </c>
      <c r="G280" s="23">
        <v>1331</v>
      </c>
      <c r="H280" s="24">
        <v>3230</v>
      </c>
      <c r="I280" s="23">
        <v>678</v>
      </c>
      <c r="J280" s="24">
        <v>3092</v>
      </c>
      <c r="K280" s="23">
        <v>671</v>
      </c>
      <c r="L280" s="24">
        <v>138</v>
      </c>
      <c r="M280" s="23">
        <v>115</v>
      </c>
      <c r="N280" s="24">
        <v>6109</v>
      </c>
      <c r="O280" s="23">
        <v>820</v>
      </c>
      <c r="P280" s="24">
        <v>5235</v>
      </c>
      <c r="Q280" s="23">
        <v>754</v>
      </c>
      <c r="R280" s="24">
        <v>874</v>
      </c>
      <c r="S280" s="23">
        <v>287</v>
      </c>
      <c r="T280" s="24">
        <v>1385</v>
      </c>
      <c r="U280" s="23">
        <v>274</v>
      </c>
      <c r="V280" s="24">
        <v>1373</v>
      </c>
      <c r="W280" s="23">
        <v>270</v>
      </c>
      <c r="X280" s="24">
        <v>12</v>
      </c>
      <c r="Y280" s="20">
        <v>43</v>
      </c>
      <c r="Z280" s="19">
        <v>4008</v>
      </c>
      <c r="AA280" s="23">
        <v>595</v>
      </c>
      <c r="AB280" s="24">
        <v>810</v>
      </c>
      <c r="AC280" s="23">
        <v>209</v>
      </c>
      <c r="AD280" s="24">
        <v>794</v>
      </c>
      <c r="AE280" s="23">
        <v>207</v>
      </c>
      <c r="AF280" s="24">
        <v>16</v>
      </c>
      <c r="AG280" s="23">
        <v>19</v>
      </c>
      <c r="AH280" s="24">
        <v>2133</v>
      </c>
      <c r="AI280" s="23">
        <v>433</v>
      </c>
      <c r="AJ280" s="24">
        <v>1829</v>
      </c>
      <c r="AK280" s="23">
        <v>399</v>
      </c>
      <c r="AL280" s="24">
        <v>304</v>
      </c>
      <c r="AM280" s="23">
        <v>124</v>
      </c>
      <c r="AN280" s="24">
        <v>1065</v>
      </c>
      <c r="AO280" s="23">
        <v>187</v>
      </c>
      <c r="AP280" s="24">
        <v>1065</v>
      </c>
      <c r="AQ280" s="23">
        <v>187</v>
      </c>
      <c r="AR280" s="24">
        <v>0</v>
      </c>
      <c r="AS280" s="20">
        <v>25</v>
      </c>
      <c r="AT280" s="19">
        <v>12304</v>
      </c>
      <c r="AU280" s="23">
        <v>926</v>
      </c>
      <c r="AV280" s="24">
        <v>2503</v>
      </c>
      <c r="AW280" s="23">
        <v>365</v>
      </c>
      <c r="AX280" s="24">
        <v>2448</v>
      </c>
      <c r="AY280" s="23">
        <v>357</v>
      </c>
      <c r="AZ280" s="24">
        <v>55</v>
      </c>
      <c r="BA280" s="23">
        <v>43</v>
      </c>
      <c r="BB280" s="24">
        <v>6823</v>
      </c>
      <c r="BC280" s="23">
        <v>579</v>
      </c>
      <c r="BD280" s="24">
        <v>6118</v>
      </c>
      <c r="BE280" s="23">
        <v>549</v>
      </c>
      <c r="BF280" s="24">
        <v>705</v>
      </c>
      <c r="BG280" s="23">
        <v>214</v>
      </c>
      <c r="BH280" s="24">
        <v>2978</v>
      </c>
      <c r="BI280" s="23">
        <v>271</v>
      </c>
      <c r="BJ280" s="24">
        <v>2978</v>
      </c>
      <c r="BK280" s="23">
        <v>271</v>
      </c>
      <c r="BL280" s="24">
        <v>0</v>
      </c>
      <c r="BM280" s="20">
        <v>25</v>
      </c>
      <c r="BN280" s="19">
        <v>10509</v>
      </c>
      <c r="BO280" s="23">
        <v>775</v>
      </c>
      <c r="BP280" s="24">
        <v>1417</v>
      </c>
      <c r="BQ280" s="23">
        <v>234</v>
      </c>
      <c r="BR280" s="24">
        <v>1394</v>
      </c>
      <c r="BS280" s="23">
        <v>229</v>
      </c>
      <c r="BT280" s="26">
        <v>23</v>
      </c>
      <c r="BU280" s="23">
        <v>35</v>
      </c>
      <c r="BV280" s="24">
        <v>7043</v>
      </c>
      <c r="BW280" s="23">
        <v>568</v>
      </c>
      <c r="BX280" s="24">
        <v>6704</v>
      </c>
      <c r="BY280" s="23">
        <v>558</v>
      </c>
      <c r="BZ280" s="24">
        <v>339</v>
      </c>
      <c r="CA280" s="23">
        <v>130</v>
      </c>
      <c r="CB280" s="24">
        <v>2049</v>
      </c>
      <c r="CC280" s="23">
        <v>234</v>
      </c>
      <c r="CD280" s="24">
        <v>2049</v>
      </c>
      <c r="CE280" s="23">
        <v>234</v>
      </c>
      <c r="CF280" s="24">
        <v>0</v>
      </c>
      <c r="CG280" s="20">
        <v>25</v>
      </c>
    </row>
    <row r="281" spans="1:85" x14ac:dyDescent="0.3">
      <c r="A281" t="s">
        <v>561</v>
      </c>
      <c r="B281">
        <v>21520</v>
      </c>
      <c r="C281" t="s">
        <v>562</v>
      </c>
      <c r="D281" s="19">
        <v>2230</v>
      </c>
      <c r="E281" s="20">
        <v>476</v>
      </c>
      <c r="F281" s="19">
        <v>659</v>
      </c>
      <c r="G281" s="23">
        <v>595</v>
      </c>
      <c r="H281" s="24">
        <v>384</v>
      </c>
      <c r="I281" s="23">
        <v>436</v>
      </c>
      <c r="J281" s="24">
        <v>356</v>
      </c>
      <c r="K281" s="23">
        <v>402</v>
      </c>
      <c r="L281" s="24">
        <v>28</v>
      </c>
      <c r="M281" s="23">
        <v>48</v>
      </c>
      <c r="N281" s="24">
        <v>233</v>
      </c>
      <c r="O281" s="23">
        <v>172</v>
      </c>
      <c r="P281" s="24">
        <v>215</v>
      </c>
      <c r="Q281" s="23">
        <v>172</v>
      </c>
      <c r="R281" s="24">
        <v>18</v>
      </c>
      <c r="S281" s="23">
        <v>26</v>
      </c>
      <c r="T281" s="24">
        <v>42</v>
      </c>
      <c r="U281" s="23">
        <v>40</v>
      </c>
      <c r="V281" s="24">
        <v>41</v>
      </c>
      <c r="W281" s="23">
        <v>39</v>
      </c>
      <c r="X281" s="24">
        <v>1</v>
      </c>
      <c r="Y281" s="20">
        <v>15</v>
      </c>
      <c r="Z281" s="19">
        <v>176</v>
      </c>
      <c r="AA281" s="23">
        <v>102</v>
      </c>
      <c r="AB281" s="24">
        <v>23</v>
      </c>
      <c r="AC281" s="23">
        <v>32</v>
      </c>
      <c r="AD281" s="24">
        <v>23</v>
      </c>
      <c r="AE281" s="23">
        <v>32</v>
      </c>
      <c r="AF281" s="24">
        <v>0</v>
      </c>
      <c r="AG281" s="23">
        <v>12</v>
      </c>
      <c r="AH281" s="24">
        <v>76</v>
      </c>
      <c r="AI281" s="23">
        <v>56</v>
      </c>
      <c r="AJ281" s="24">
        <v>31</v>
      </c>
      <c r="AK281" s="23">
        <v>28</v>
      </c>
      <c r="AL281" s="24">
        <v>45</v>
      </c>
      <c r="AM281" s="23">
        <v>44</v>
      </c>
      <c r="AN281" s="24">
        <v>77</v>
      </c>
      <c r="AO281" s="23">
        <v>48</v>
      </c>
      <c r="AP281" s="24">
        <v>77</v>
      </c>
      <c r="AQ281" s="23">
        <v>48</v>
      </c>
      <c r="AR281" s="24">
        <v>0</v>
      </c>
      <c r="AS281" s="20">
        <v>12</v>
      </c>
      <c r="AT281" s="19">
        <v>755</v>
      </c>
      <c r="AU281" s="23">
        <v>197</v>
      </c>
      <c r="AV281" s="24">
        <v>163</v>
      </c>
      <c r="AW281" s="23">
        <v>69</v>
      </c>
      <c r="AX281" s="24">
        <v>163</v>
      </c>
      <c r="AY281" s="23">
        <v>69</v>
      </c>
      <c r="AZ281" s="24">
        <v>0</v>
      </c>
      <c r="BA281" s="23">
        <v>12</v>
      </c>
      <c r="BB281" s="24">
        <v>450</v>
      </c>
      <c r="BC281" s="23">
        <v>137</v>
      </c>
      <c r="BD281" s="24">
        <v>434</v>
      </c>
      <c r="BE281" s="23">
        <v>139</v>
      </c>
      <c r="BF281" s="24">
        <v>16</v>
      </c>
      <c r="BG281" s="23">
        <v>16</v>
      </c>
      <c r="BH281" s="24">
        <v>142</v>
      </c>
      <c r="BI281" s="23">
        <v>81</v>
      </c>
      <c r="BJ281" s="24">
        <v>142</v>
      </c>
      <c r="BK281" s="23">
        <v>81</v>
      </c>
      <c r="BL281" s="24">
        <v>0</v>
      </c>
      <c r="BM281" s="20">
        <v>12</v>
      </c>
      <c r="BN281" s="19">
        <v>640</v>
      </c>
      <c r="BO281" s="23">
        <v>161</v>
      </c>
      <c r="BP281" s="24">
        <v>51</v>
      </c>
      <c r="BQ281" s="23">
        <v>38</v>
      </c>
      <c r="BR281" s="24">
        <v>51</v>
      </c>
      <c r="BS281" s="23">
        <v>38</v>
      </c>
      <c r="BT281" s="26">
        <v>0</v>
      </c>
      <c r="BU281" s="23">
        <v>12</v>
      </c>
      <c r="BV281" s="24">
        <v>477</v>
      </c>
      <c r="BW281" s="23">
        <v>118</v>
      </c>
      <c r="BX281" s="24">
        <v>420</v>
      </c>
      <c r="BY281" s="23">
        <v>113</v>
      </c>
      <c r="BZ281" s="24">
        <v>57</v>
      </c>
      <c r="CA281" s="23">
        <v>45</v>
      </c>
      <c r="CB281" s="24">
        <v>112</v>
      </c>
      <c r="CC281" s="23">
        <v>78</v>
      </c>
      <c r="CD281" s="24">
        <v>112</v>
      </c>
      <c r="CE281" s="23">
        <v>78</v>
      </c>
      <c r="CF281" s="24">
        <v>0</v>
      </c>
      <c r="CG281" s="20">
        <v>12</v>
      </c>
    </row>
    <row r="282" spans="1:85" x14ac:dyDescent="0.3">
      <c r="A282" t="s">
        <v>563</v>
      </c>
      <c r="B282">
        <v>21521</v>
      </c>
      <c r="C282" t="s">
        <v>564</v>
      </c>
      <c r="D282" s="19">
        <v>1113</v>
      </c>
      <c r="E282" s="20">
        <v>185</v>
      </c>
      <c r="F282" s="19">
        <v>236</v>
      </c>
      <c r="G282" s="23">
        <v>110</v>
      </c>
      <c r="H282" s="24">
        <v>23</v>
      </c>
      <c r="I282" s="23">
        <v>25</v>
      </c>
      <c r="J282" s="24">
        <v>18</v>
      </c>
      <c r="K282" s="23">
        <v>21</v>
      </c>
      <c r="L282" s="24">
        <v>5</v>
      </c>
      <c r="M282" s="23">
        <v>22</v>
      </c>
      <c r="N282" s="24">
        <v>116</v>
      </c>
      <c r="O282" s="23">
        <v>71</v>
      </c>
      <c r="P282" s="24">
        <v>100</v>
      </c>
      <c r="Q282" s="23">
        <v>67</v>
      </c>
      <c r="R282" s="24">
        <v>16</v>
      </c>
      <c r="S282" s="23">
        <v>30</v>
      </c>
      <c r="T282" s="24">
        <v>97</v>
      </c>
      <c r="U282" s="23">
        <v>74</v>
      </c>
      <c r="V282" s="24">
        <v>97</v>
      </c>
      <c r="W282" s="23">
        <v>74</v>
      </c>
      <c r="X282" s="24">
        <v>0</v>
      </c>
      <c r="Y282" s="20">
        <v>24</v>
      </c>
      <c r="Z282" s="19">
        <v>128</v>
      </c>
      <c r="AA282" s="23">
        <v>59</v>
      </c>
      <c r="AB282" s="24">
        <v>24</v>
      </c>
      <c r="AC282" s="23">
        <v>28</v>
      </c>
      <c r="AD282" s="24">
        <v>24</v>
      </c>
      <c r="AE282" s="23">
        <v>28</v>
      </c>
      <c r="AF282" s="24">
        <v>0</v>
      </c>
      <c r="AG282" s="23">
        <v>12</v>
      </c>
      <c r="AH282" s="24">
        <v>40</v>
      </c>
      <c r="AI282" s="23">
        <v>26</v>
      </c>
      <c r="AJ282" s="24">
        <v>31</v>
      </c>
      <c r="AK282" s="23">
        <v>22</v>
      </c>
      <c r="AL282" s="24">
        <v>9</v>
      </c>
      <c r="AM282" s="23">
        <v>9</v>
      </c>
      <c r="AN282" s="24">
        <v>64</v>
      </c>
      <c r="AO282" s="23">
        <v>33</v>
      </c>
      <c r="AP282" s="24">
        <v>64</v>
      </c>
      <c r="AQ282" s="23">
        <v>33</v>
      </c>
      <c r="AR282" s="24">
        <v>0</v>
      </c>
      <c r="AS282" s="20">
        <v>12</v>
      </c>
      <c r="AT282" s="19">
        <v>531</v>
      </c>
      <c r="AU282" s="23">
        <v>147</v>
      </c>
      <c r="AV282" s="24">
        <v>80</v>
      </c>
      <c r="AW282" s="23">
        <v>47</v>
      </c>
      <c r="AX282" s="24">
        <v>80</v>
      </c>
      <c r="AY282" s="23">
        <v>47</v>
      </c>
      <c r="AZ282" s="24">
        <v>0</v>
      </c>
      <c r="BA282" s="23">
        <v>12</v>
      </c>
      <c r="BB282" s="24">
        <v>307</v>
      </c>
      <c r="BC282" s="23">
        <v>114</v>
      </c>
      <c r="BD282" s="24">
        <v>293</v>
      </c>
      <c r="BE282" s="23">
        <v>120</v>
      </c>
      <c r="BF282" s="24">
        <v>14</v>
      </c>
      <c r="BG282" s="23">
        <v>21</v>
      </c>
      <c r="BH282" s="24">
        <v>144</v>
      </c>
      <c r="BI282" s="23">
        <v>60</v>
      </c>
      <c r="BJ282" s="24">
        <v>144</v>
      </c>
      <c r="BK282" s="23">
        <v>60</v>
      </c>
      <c r="BL282" s="24">
        <v>0</v>
      </c>
      <c r="BM282" s="20">
        <v>12</v>
      </c>
      <c r="BN282" s="19">
        <v>218</v>
      </c>
      <c r="BO282" s="23">
        <v>115</v>
      </c>
      <c r="BP282" s="24">
        <v>19</v>
      </c>
      <c r="BQ282" s="23">
        <v>17</v>
      </c>
      <c r="BR282" s="24">
        <v>19</v>
      </c>
      <c r="BS282" s="23">
        <v>17</v>
      </c>
      <c r="BT282" s="26">
        <v>0</v>
      </c>
      <c r="BU282" s="23">
        <v>12</v>
      </c>
      <c r="BV282" s="24">
        <v>171</v>
      </c>
      <c r="BW282" s="23">
        <v>108</v>
      </c>
      <c r="BX282" s="24">
        <v>166</v>
      </c>
      <c r="BY282" s="23">
        <v>108</v>
      </c>
      <c r="BZ282" s="24">
        <v>5</v>
      </c>
      <c r="CA282" s="23">
        <v>7</v>
      </c>
      <c r="CB282" s="24">
        <v>28</v>
      </c>
      <c r="CC282" s="23">
        <v>34</v>
      </c>
      <c r="CD282" s="24">
        <v>28</v>
      </c>
      <c r="CE282" s="23">
        <v>34</v>
      </c>
      <c r="CF282" s="24">
        <v>0</v>
      </c>
      <c r="CG282" s="20">
        <v>12</v>
      </c>
    </row>
    <row r="283" spans="1:85" x14ac:dyDescent="0.3">
      <c r="A283" t="s">
        <v>565</v>
      </c>
      <c r="B283">
        <v>21522</v>
      </c>
      <c r="C283" t="s">
        <v>566</v>
      </c>
      <c r="D283" s="19">
        <v>120</v>
      </c>
      <c r="E283" s="20">
        <v>66</v>
      </c>
      <c r="F283" s="19">
        <v>0</v>
      </c>
      <c r="G283" s="23">
        <v>24</v>
      </c>
      <c r="H283" s="24">
        <v>0</v>
      </c>
      <c r="I283" s="23">
        <v>24</v>
      </c>
      <c r="J283" s="24">
        <v>0</v>
      </c>
      <c r="K283" s="23">
        <v>24</v>
      </c>
      <c r="L283" s="24">
        <v>0</v>
      </c>
      <c r="M283" s="23">
        <v>24</v>
      </c>
      <c r="N283" s="24">
        <v>0</v>
      </c>
      <c r="O283" s="23">
        <v>24</v>
      </c>
      <c r="P283" s="24">
        <v>0</v>
      </c>
      <c r="Q283" s="23">
        <v>24</v>
      </c>
      <c r="R283" s="24">
        <v>0</v>
      </c>
      <c r="S283" s="23">
        <v>24</v>
      </c>
      <c r="T283" s="24">
        <v>0</v>
      </c>
      <c r="U283" s="23">
        <v>24</v>
      </c>
      <c r="V283" s="24">
        <v>0</v>
      </c>
      <c r="W283" s="23">
        <v>24</v>
      </c>
      <c r="X283" s="24">
        <v>0</v>
      </c>
      <c r="Y283" s="20">
        <v>24</v>
      </c>
      <c r="Z283" s="19">
        <v>15</v>
      </c>
      <c r="AA283" s="23">
        <v>23</v>
      </c>
      <c r="AB283" s="24">
        <v>0</v>
      </c>
      <c r="AC283" s="23">
        <v>12</v>
      </c>
      <c r="AD283" s="24">
        <v>0</v>
      </c>
      <c r="AE283" s="23">
        <v>12</v>
      </c>
      <c r="AF283" s="24">
        <v>0</v>
      </c>
      <c r="AG283" s="23">
        <v>12</v>
      </c>
      <c r="AH283" s="24">
        <v>15</v>
      </c>
      <c r="AI283" s="23">
        <v>23</v>
      </c>
      <c r="AJ283" s="24">
        <v>8</v>
      </c>
      <c r="AK283" s="23">
        <v>13</v>
      </c>
      <c r="AL283" s="24">
        <v>7</v>
      </c>
      <c r="AM283" s="23">
        <v>11</v>
      </c>
      <c r="AN283" s="24">
        <v>0</v>
      </c>
      <c r="AO283" s="23">
        <v>12</v>
      </c>
      <c r="AP283" s="24">
        <v>0</v>
      </c>
      <c r="AQ283" s="23">
        <v>12</v>
      </c>
      <c r="AR283" s="24">
        <v>0</v>
      </c>
      <c r="AS283" s="20">
        <v>12</v>
      </c>
      <c r="AT283" s="19">
        <v>45</v>
      </c>
      <c r="AU283" s="23">
        <v>42</v>
      </c>
      <c r="AV283" s="24">
        <v>0</v>
      </c>
      <c r="AW283" s="23">
        <v>12</v>
      </c>
      <c r="AX283" s="24">
        <v>0</v>
      </c>
      <c r="AY283" s="23">
        <v>12</v>
      </c>
      <c r="AZ283" s="24">
        <v>0</v>
      </c>
      <c r="BA283" s="23">
        <v>12</v>
      </c>
      <c r="BB283" s="24">
        <v>23</v>
      </c>
      <c r="BC283" s="23">
        <v>21</v>
      </c>
      <c r="BD283" s="24">
        <v>23</v>
      </c>
      <c r="BE283" s="23">
        <v>21</v>
      </c>
      <c r="BF283" s="24">
        <v>0</v>
      </c>
      <c r="BG283" s="23">
        <v>12</v>
      </c>
      <c r="BH283" s="24">
        <v>22</v>
      </c>
      <c r="BI283" s="23">
        <v>34</v>
      </c>
      <c r="BJ283" s="24">
        <v>22</v>
      </c>
      <c r="BK283" s="23">
        <v>34</v>
      </c>
      <c r="BL283" s="24">
        <v>0</v>
      </c>
      <c r="BM283" s="20">
        <v>12</v>
      </c>
      <c r="BN283" s="19">
        <v>60</v>
      </c>
      <c r="BO283" s="23">
        <v>54</v>
      </c>
      <c r="BP283" s="24">
        <v>0</v>
      </c>
      <c r="BQ283" s="23">
        <v>12</v>
      </c>
      <c r="BR283" s="24">
        <v>0</v>
      </c>
      <c r="BS283" s="23">
        <v>12</v>
      </c>
      <c r="BT283" s="26">
        <v>0</v>
      </c>
      <c r="BU283" s="23">
        <v>12</v>
      </c>
      <c r="BV283" s="24">
        <v>44</v>
      </c>
      <c r="BW283" s="23">
        <v>51</v>
      </c>
      <c r="BX283" s="24">
        <v>44</v>
      </c>
      <c r="BY283" s="23">
        <v>51</v>
      </c>
      <c r="BZ283" s="24">
        <v>0</v>
      </c>
      <c r="CA283" s="23">
        <v>12</v>
      </c>
      <c r="CB283" s="24">
        <v>16</v>
      </c>
      <c r="CC283" s="23">
        <v>24</v>
      </c>
      <c r="CD283" s="24">
        <v>16</v>
      </c>
      <c r="CE283" s="23">
        <v>24</v>
      </c>
      <c r="CF283" s="24">
        <v>0</v>
      </c>
      <c r="CG283" s="20">
        <v>12</v>
      </c>
    </row>
    <row r="284" spans="1:85" x14ac:dyDescent="0.3">
      <c r="A284" t="s">
        <v>567</v>
      </c>
      <c r="B284">
        <v>21523</v>
      </c>
      <c r="C284" t="s">
        <v>568</v>
      </c>
      <c r="D284" s="19">
        <v>185</v>
      </c>
      <c r="E284" s="20">
        <v>74</v>
      </c>
      <c r="F284" s="19">
        <v>36</v>
      </c>
      <c r="G284" s="23">
        <v>42</v>
      </c>
      <c r="H284" s="24">
        <v>0</v>
      </c>
      <c r="I284" s="23">
        <v>24</v>
      </c>
      <c r="J284" s="24">
        <v>0</v>
      </c>
      <c r="K284" s="23">
        <v>24</v>
      </c>
      <c r="L284" s="24">
        <v>0</v>
      </c>
      <c r="M284" s="23">
        <v>24</v>
      </c>
      <c r="N284" s="24">
        <v>0</v>
      </c>
      <c r="O284" s="23">
        <v>24</v>
      </c>
      <c r="P284" s="24">
        <v>0</v>
      </c>
      <c r="Q284" s="23">
        <v>24</v>
      </c>
      <c r="R284" s="24">
        <v>0</v>
      </c>
      <c r="S284" s="23">
        <v>24</v>
      </c>
      <c r="T284" s="24">
        <v>36</v>
      </c>
      <c r="U284" s="23">
        <v>42</v>
      </c>
      <c r="V284" s="24">
        <v>36</v>
      </c>
      <c r="W284" s="23">
        <v>42</v>
      </c>
      <c r="X284" s="24">
        <v>0</v>
      </c>
      <c r="Y284" s="20">
        <v>24</v>
      </c>
      <c r="Z284" s="19">
        <v>56</v>
      </c>
      <c r="AA284" s="23">
        <v>47</v>
      </c>
      <c r="AB284" s="24">
        <v>16</v>
      </c>
      <c r="AC284" s="23">
        <v>25</v>
      </c>
      <c r="AD284" s="24">
        <v>16</v>
      </c>
      <c r="AE284" s="23">
        <v>25</v>
      </c>
      <c r="AF284" s="24">
        <v>0</v>
      </c>
      <c r="AG284" s="23">
        <v>12</v>
      </c>
      <c r="AH284" s="24">
        <v>20</v>
      </c>
      <c r="AI284" s="23">
        <v>29</v>
      </c>
      <c r="AJ284" s="24">
        <v>20</v>
      </c>
      <c r="AK284" s="23">
        <v>29</v>
      </c>
      <c r="AL284" s="24">
        <v>0</v>
      </c>
      <c r="AM284" s="23">
        <v>12</v>
      </c>
      <c r="AN284" s="24">
        <v>20</v>
      </c>
      <c r="AO284" s="23">
        <v>30</v>
      </c>
      <c r="AP284" s="24">
        <v>20</v>
      </c>
      <c r="AQ284" s="23">
        <v>30</v>
      </c>
      <c r="AR284" s="24">
        <v>0</v>
      </c>
      <c r="AS284" s="20">
        <v>12</v>
      </c>
      <c r="AT284" s="19">
        <v>72</v>
      </c>
      <c r="AU284" s="23">
        <v>51</v>
      </c>
      <c r="AV284" s="24">
        <v>6</v>
      </c>
      <c r="AW284" s="23">
        <v>11</v>
      </c>
      <c r="AX284" s="24">
        <v>6</v>
      </c>
      <c r="AY284" s="23">
        <v>11</v>
      </c>
      <c r="AZ284" s="24">
        <v>0</v>
      </c>
      <c r="BA284" s="23">
        <v>12</v>
      </c>
      <c r="BB284" s="24">
        <v>66</v>
      </c>
      <c r="BC284" s="23">
        <v>46</v>
      </c>
      <c r="BD284" s="24">
        <v>55</v>
      </c>
      <c r="BE284" s="23">
        <v>42</v>
      </c>
      <c r="BF284" s="24">
        <v>11</v>
      </c>
      <c r="BG284" s="23">
        <v>17</v>
      </c>
      <c r="BH284" s="24">
        <v>0</v>
      </c>
      <c r="BI284" s="23">
        <v>12</v>
      </c>
      <c r="BJ284" s="24">
        <v>0</v>
      </c>
      <c r="BK284" s="23">
        <v>12</v>
      </c>
      <c r="BL284" s="24">
        <v>0</v>
      </c>
      <c r="BM284" s="20">
        <v>12</v>
      </c>
      <c r="BN284" s="19">
        <v>21</v>
      </c>
      <c r="BO284" s="23">
        <v>18</v>
      </c>
      <c r="BP284" s="24">
        <v>0</v>
      </c>
      <c r="BQ284" s="23">
        <v>12</v>
      </c>
      <c r="BR284" s="24">
        <v>0</v>
      </c>
      <c r="BS284" s="23">
        <v>12</v>
      </c>
      <c r="BT284" s="26">
        <v>0</v>
      </c>
      <c r="BU284" s="23">
        <v>12</v>
      </c>
      <c r="BV284" s="24">
        <v>21</v>
      </c>
      <c r="BW284" s="23">
        <v>18</v>
      </c>
      <c r="BX284" s="24">
        <v>21</v>
      </c>
      <c r="BY284" s="23">
        <v>18</v>
      </c>
      <c r="BZ284" s="24">
        <v>0</v>
      </c>
      <c r="CA284" s="23">
        <v>12</v>
      </c>
      <c r="CB284" s="24">
        <v>0</v>
      </c>
      <c r="CC284" s="23">
        <v>12</v>
      </c>
      <c r="CD284" s="24">
        <v>0</v>
      </c>
      <c r="CE284" s="23">
        <v>12</v>
      </c>
      <c r="CF284" s="24">
        <v>0</v>
      </c>
      <c r="CG284" s="20">
        <v>12</v>
      </c>
    </row>
    <row r="285" spans="1:85" x14ac:dyDescent="0.3">
      <c r="A285" t="s">
        <v>569</v>
      </c>
      <c r="B285">
        <v>21524</v>
      </c>
      <c r="C285" t="s">
        <v>570</v>
      </c>
      <c r="D285" s="19">
        <v>593</v>
      </c>
      <c r="E285" s="20">
        <v>211</v>
      </c>
      <c r="F285" s="19">
        <v>115</v>
      </c>
      <c r="G285" s="23">
        <v>99</v>
      </c>
      <c r="H285" s="24">
        <v>11</v>
      </c>
      <c r="I285" s="23">
        <v>30</v>
      </c>
      <c r="J285" s="24">
        <v>11</v>
      </c>
      <c r="K285" s="23">
        <v>30</v>
      </c>
      <c r="L285" s="24">
        <v>0</v>
      </c>
      <c r="M285" s="23">
        <v>24</v>
      </c>
      <c r="N285" s="24">
        <v>87</v>
      </c>
      <c r="O285" s="23">
        <v>92</v>
      </c>
      <c r="P285" s="24">
        <v>87</v>
      </c>
      <c r="Q285" s="23">
        <v>92</v>
      </c>
      <c r="R285" s="24">
        <v>0</v>
      </c>
      <c r="S285" s="23">
        <v>24</v>
      </c>
      <c r="T285" s="24">
        <v>17</v>
      </c>
      <c r="U285" s="23">
        <v>20</v>
      </c>
      <c r="V285" s="24">
        <v>17</v>
      </c>
      <c r="W285" s="23">
        <v>20</v>
      </c>
      <c r="X285" s="24">
        <v>0</v>
      </c>
      <c r="Y285" s="20">
        <v>24</v>
      </c>
      <c r="Z285" s="19">
        <v>188</v>
      </c>
      <c r="AA285" s="23">
        <v>192</v>
      </c>
      <c r="AB285" s="24">
        <v>96</v>
      </c>
      <c r="AC285" s="23">
        <v>152</v>
      </c>
      <c r="AD285" s="24">
        <v>96</v>
      </c>
      <c r="AE285" s="23">
        <v>152</v>
      </c>
      <c r="AF285" s="24">
        <v>0</v>
      </c>
      <c r="AG285" s="23">
        <v>12</v>
      </c>
      <c r="AH285" s="24">
        <v>74</v>
      </c>
      <c r="AI285" s="23">
        <v>51</v>
      </c>
      <c r="AJ285" s="24">
        <v>74</v>
      </c>
      <c r="AK285" s="23">
        <v>51</v>
      </c>
      <c r="AL285" s="24">
        <v>0</v>
      </c>
      <c r="AM285" s="23">
        <v>12</v>
      </c>
      <c r="AN285" s="24">
        <v>18</v>
      </c>
      <c r="AO285" s="23">
        <v>19</v>
      </c>
      <c r="AP285" s="24">
        <v>18</v>
      </c>
      <c r="AQ285" s="23">
        <v>19</v>
      </c>
      <c r="AR285" s="24">
        <v>0</v>
      </c>
      <c r="AS285" s="20">
        <v>12</v>
      </c>
      <c r="AT285" s="19">
        <v>161</v>
      </c>
      <c r="AU285" s="23">
        <v>73</v>
      </c>
      <c r="AV285" s="24">
        <v>9</v>
      </c>
      <c r="AW285" s="23">
        <v>12</v>
      </c>
      <c r="AX285" s="24">
        <v>9</v>
      </c>
      <c r="AY285" s="23">
        <v>12</v>
      </c>
      <c r="AZ285" s="24">
        <v>0</v>
      </c>
      <c r="BA285" s="23">
        <v>12</v>
      </c>
      <c r="BB285" s="24">
        <v>76</v>
      </c>
      <c r="BC285" s="23">
        <v>45</v>
      </c>
      <c r="BD285" s="24">
        <v>76</v>
      </c>
      <c r="BE285" s="23">
        <v>45</v>
      </c>
      <c r="BF285" s="24">
        <v>0</v>
      </c>
      <c r="BG285" s="23">
        <v>12</v>
      </c>
      <c r="BH285" s="24">
        <v>76</v>
      </c>
      <c r="BI285" s="23">
        <v>48</v>
      </c>
      <c r="BJ285" s="24">
        <v>76</v>
      </c>
      <c r="BK285" s="23">
        <v>48</v>
      </c>
      <c r="BL285" s="24">
        <v>0</v>
      </c>
      <c r="BM285" s="20">
        <v>12</v>
      </c>
      <c r="BN285" s="19">
        <v>129</v>
      </c>
      <c r="BO285" s="23">
        <v>47</v>
      </c>
      <c r="BP285" s="24">
        <v>0</v>
      </c>
      <c r="BQ285" s="23">
        <v>12</v>
      </c>
      <c r="BR285" s="24">
        <v>0</v>
      </c>
      <c r="BS285" s="23">
        <v>12</v>
      </c>
      <c r="BT285" s="26">
        <v>0</v>
      </c>
      <c r="BU285" s="23">
        <v>12</v>
      </c>
      <c r="BV285" s="24">
        <v>81</v>
      </c>
      <c r="BW285" s="23">
        <v>41</v>
      </c>
      <c r="BX285" s="24">
        <v>81</v>
      </c>
      <c r="BY285" s="23">
        <v>41</v>
      </c>
      <c r="BZ285" s="24">
        <v>0</v>
      </c>
      <c r="CA285" s="23">
        <v>12</v>
      </c>
      <c r="CB285" s="24">
        <v>48</v>
      </c>
      <c r="CC285" s="23">
        <v>33</v>
      </c>
      <c r="CD285" s="24">
        <v>48</v>
      </c>
      <c r="CE285" s="23">
        <v>33</v>
      </c>
      <c r="CF285" s="24">
        <v>0</v>
      </c>
      <c r="CG285" s="20">
        <v>12</v>
      </c>
    </row>
    <row r="286" spans="1:85" x14ac:dyDescent="0.3">
      <c r="A286" t="s">
        <v>571</v>
      </c>
      <c r="B286">
        <v>21529</v>
      </c>
      <c r="C286" t="s">
        <v>572</v>
      </c>
      <c r="D286" s="19">
        <v>511</v>
      </c>
      <c r="E286" s="20">
        <v>157</v>
      </c>
      <c r="F286" s="19">
        <v>30</v>
      </c>
      <c r="G286" s="23">
        <v>32</v>
      </c>
      <c r="H286" s="24">
        <v>0</v>
      </c>
      <c r="I286" s="23">
        <v>24</v>
      </c>
      <c r="J286" s="24">
        <v>0</v>
      </c>
      <c r="K286" s="23">
        <v>24</v>
      </c>
      <c r="L286" s="24">
        <v>0</v>
      </c>
      <c r="M286" s="23">
        <v>24</v>
      </c>
      <c r="N286" s="24">
        <v>6</v>
      </c>
      <c r="O286" s="23">
        <v>21</v>
      </c>
      <c r="P286" s="24">
        <v>6</v>
      </c>
      <c r="Q286" s="23">
        <v>21</v>
      </c>
      <c r="R286" s="24">
        <v>0</v>
      </c>
      <c r="S286" s="23">
        <v>24</v>
      </c>
      <c r="T286" s="24">
        <v>24</v>
      </c>
      <c r="U286" s="23">
        <v>35</v>
      </c>
      <c r="V286" s="24">
        <v>24</v>
      </c>
      <c r="W286" s="23">
        <v>35</v>
      </c>
      <c r="X286" s="24">
        <v>0</v>
      </c>
      <c r="Y286" s="20">
        <v>24</v>
      </c>
      <c r="Z286" s="19">
        <v>88</v>
      </c>
      <c r="AA286" s="23">
        <v>76</v>
      </c>
      <c r="AB286" s="24">
        <v>26</v>
      </c>
      <c r="AC286" s="23">
        <v>31</v>
      </c>
      <c r="AD286" s="24">
        <v>26</v>
      </c>
      <c r="AE286" s="23">
        <v>31</v>
      </c>
      <c r="AF286" s="24">
        <v>0</v>
      </c>
      <c r="AG286" s="23">
        <v>12</v>
      </c>
      <c r="AH286" s="24">
        <v>57</v>
      </c>
      <c r="AI286" s="23">
        <v>51</v>
      </c>
      <c r="AJ286" s="24">
        <v>49</v>
      </c>
      <c r="AK286" s="23">
        <v>48</v>
      </c>
      <c r="AL286" s="24">
        <v>8</v>
      </c>
      <c r="AM286" s="23">
        <v>12</v>
      </c>
      <c r="AN286" s="24">
        <v>5</v>
      </c>
      <c r="AO286" s="23">
        <v>8</v>
      </c>
      <c r="AP286" s="24">
        <v>5</v>
      </c>
      <c r="AQ286" s="23">
        <v>8</v>
      </c>
      <c r="AR286" s="24">
        <v>0</v>
      </c>
      <c r="AS286" s="20">
        <v>12</v>
      </c>
      <c r="AT286" s="19">
        <v>209</v>
      </c>
      <c r="AU286" s="23">
        <v>126</v>
      </c>
      <c r="AV286" s="24">
        <v>43</v>
      </c>
      <c r="AW286" s="23">
        <v>57</v>
      </c>
      <c r="AX286" s="24">
        <v>43</v>
      </c>
      <c r="AY286" s="23">
        <v>57</v>
      </c>
      <c r="AZ286" s="24">
        <v>0</v>
      </c>
      <c r="BA286" s="23">
        <v>12</v>
      </c>
      <c r="BB286" s="24">
        <v>107</v>
      </c>
      <c r="BC286" s="23">
        <v>69</v>
      </c>
      <c r="BD286" s="24">
        <v>89</v>
      </c>
      <c r="BE286" s="23">
        <v>66</v>
      </c>
      <c r="BF286" s="24">
        <v>18</v>
      </c>
      <c r="BG286" s="23">
        <v>27</v>
      </c>
      <c r="BH286" s="24">
        <v>59</v>
      </c>
      <c r="BI286" s="23">
        <v>36</v>
      </c>
      <c r="BJ286" s="24">
        <v>59</v>
      </c>
      <c r="BK286" s="23">
        <v>36</v>
      </c>
      <c r="BL286" s="24">
        <v>0</v>
      </c>
      <c r="BM286" s="20">
        <v>12</v>
      </c>
      <c r="BN286" s="19">
        <v>184</v>
      </c>
      <c r="BO286" s="23">
        <v>71</v>
      </c>
      <c r="BP286" s="24">
        <v>7</v>
      </c>
      <c r="BQ286" s="23">
        <v>10</v>
      </c>
      <c r="BR286" s="24">
        <v>7</v>
      </c>
      <c r="BS286" s="23">
        <v>10</v>
      </c>
      <c r="BT286" s="26">
        <v>0</v>
      </c>
      <c r="BU286" s="23">
        <v>12</v>
      </c>
      <c r="BV286" s="24">
        <v>153</v>
      </c>
      <c r="BW286" s="23">
        <v>59</v>
      </c>
      <c r="BX286" s="24">
        <v>146</v>
      </c>
      <c r="BY286" s="23">
        <v>58</v>
      </c>
      <c r="BZ286" s="24">
        <v>7</v>
      </c>
      <c r="CA286" s="23">
        <v>10</v>
      </c>
      <c r="CB286" s="24">
        <v>24</v>
      </c>
      <c r="CC286" s="23">
        <v>22</v>
      </c>
      <c r="CD286" s="24">
        <v>24</v>
      </c>
      <c r="CE286" s="23">
        <v>22</v>
      </c>
      <c r="CF286" s="24">
        <v>0</v>
      </c>
      <c r="CG286" s="20">
        <v>12</v>
      </c>
    </row>
    <row r="287" spans="1:85" x14ac:dyDescent="0.3">
      <c r="A287" t="s">
        <v>573</v>
      </c>
      <c r="B287">
        <v>21530</v>
      </c>
      <c r="C287" t="s">
        <v>574</v>
      </c>
      <c r="D287" s="19">
        <v>1640</v>
      </c>
      <c r="E287" s="20">
        <v>267</v>
      </c>
      <c r="F287" s="19">
        <v>571</v>
      </c>
      <c r="G287" s="23">
        <v>371</v>
      </c>
      <c r="H287" s="24">
        <v>234</v>
      </c>
      <c r="I287" s="23">
        <v>209</v>
      </c>
      <c r="J287" s="24">
        <v>166</v>
      </c>
      <c r="K287" s="23">
        <v>179</v>
      </c>
      <c r="L287" s="24">
        <v>68</v>
      </c>
      <c r="M287" s="23">
        <v>99</v>
      </c>
      <c r="N287" s="24">
        <v>267</v>
      </c>
      <c r="O287" s="23">
        <v>177</v>
      </c>
      <c r="P287" s="24">
        <v>158</v>
      </c>
      <c r="Q287" s="23">
        <v>138</v>
      </c>
      <c r="R287" s="24">
        <v>109</v>
      </c>
      <c r="S287" s="23">
        <v>106</v>
      </c>
      <c r="T287" s="24">
        <v>70</v>
      </c>
      <c r="U287" s="23">
        <v>65</v>
      </c>
      <c r="V287" s="24">
        <v>70</v>
      </c>
      <c r="W287" s="23">
        <v>65</v>
      </c>
      <c r="X287" s="24">
        <v>0</v>
      </c>
      <c r="Y287" s="20">
        <v>24</v>
      </c>
      <c r="Z287" s="19">
        <v>60</v>
      </c>
      <c r="AA287" s="23">
        <v>43</v>
      </c>
      <c r="AB287" s="24">
        <v>0</v>
      </c>
      <c r="AC287" s="23">
        <v>12</v>
      </c>
      <c r="AD287" s="24">
        <v>0</v>
      </c>
      <c r="AE287" s="23">
        <v>12</v>
      </c>
      <c r="AF287" s="24">
        <v>0</v>
      </c>
      <c r="AG287" s="23">
        <v>12</v>
      </c>
      <c r="AH287" s="24">
        <v>0</v>
      </c>
      <c r="AI287" s="23">
        <v>12</v>
      </c>
      <c r="AJ287" s="24">
        <v>0</v>
      </c>
      <c r="AK287" s="23">
        <v>12</v>
      </c>
      <c r="AL287" s="24">
        <v>0</v>
      </c>
      <c r="AM287" s="23">
        <v>12</v>
      </c>
      <c r="AN287" s="24">
        <v>60</v>
      </c>
      <c r="AO287" s="23">
        <v>43</v>
      </c>
      <c r="AP287" s="24">
        <v>60</v>
      </c>
      <c r="AQ287" s="23">
        <v>43</v>
      </c>
      <c r="AR287" s="24">
        <v>0</v>
      </c>
      <c r="AS287" s="20">
        <v>12</v>
      </c>
      <c r="AT287" s="19">
        <v>508</v>
      </c>
      <c r="AU287" s="23">
        <v>214</v>
      </c>
      <c r="AV287" s="24">
        <v>99</v>
      </c>
      <c r="AW287" s="23">
        <v>86</v>
      </c>
      <c r="AX287" s="24">
        <v>99</v>
      </c>
      <c r="AY287" s="23">
        <v>86</v>
      </c>
      <c r="AZ287" s="24">
        <v>0</v>
      </c>
      <c r="BA287" s="23">
        <v>12</v>
      </c>
      <c r="BB287" s="24">
        <v>237</v>
      </c>
      <c r="BC287" s="23">
        <v>130</v>
      </c>
      <c r="BD287" s="24">
        <v>237</v>
      </c>
      <c r="BE287" s="23">
        <v>130</v>
      </c>
      <c r="BF287" s="24">
        <v>0</v>
      </c>
      <c r="BG287" s="23">
        <v>12</v>
      </c>
      <c r="BH287" s="24">
        <v>172</v>
      </c>
      <c r="BI287" s="23">
        <v>80</v>
      </c>
      <c r="BJ287" s="24">
        <v>172</v>
      </c>
      <c r="BK287" s="23">
        <v>80</v>
      </c>
      <c r="BL287" s="24">
        <v>0</v>
      </c>
      <c r="BM287" s="20">
        <v>12</v>
      </c>
      <c r="BN287" s="19">
        <v>501</v>
      </c>
      <c r="BO287" s="23">
        <v>212</v>
      </c>
      <c r="BP287" s="24">
        <v>25</v>
      </c>
      <c r="BQ287" s="23">
        <v>31</v>
      </c>
      <c r="BR287" s="24">
        <v>25</v>
      </c>
      <c r="BS287" s="23">
        <v>31</v>
      </c>
      <c r="BT287" s="26">
        <v>0</v>
      </c>
      <c r="BU287" s="23">
        <v>12</v>
      </c>
      <c r="BV287" s="24">
        <v>344</v>
      </c>
      <c r="BW287" s="23">
        <v>186</v>
      </c>
      <c r="BX287" s="24">
        <v>333</v>
      </c>
      <c r="BY287" s="23">
        <v>184</v>
      </c>
      <c r="BZ287" s="24">
        <v>11</v>
      </c>
      <c r="CA287" s="23">
        <v>17</v>
      </c>
      <c r="CB287" s="24">
        <v>132</v>
      </c>
      <c r="CC287" s="23">
        <v>67</v>
      </c>
      <c r="CD287" s="24">
        <v>132</v>
      </c>
      <c r="CE287" s="23">
        <v>67</v>
      </c>
      <c r="CF287" s="24">
        <v>0</v>
      </c>
      <c r="CG287" s="20">
        <v>12</v>
      </c>
    </row>
    <row r="288" spans="1:85" x14ac:dyDescent="0.3">
      <c r="A288" t="s">
        <v>575</v>
      </c>
      <c r="B288">
        <v>21531</v>
      </c>
      <c r="C288" t="s">
        <v>576</v>
      </c>
      <c r="D288" s="19">
        <v>2043</v>
      </c>
      <c r="E288" s="20">
        <v>300</v>
      </c>
      <c r="F288" s="19">
        <v>357</v>
      </c>
      <c r="G288" s="23">
        <v>179</v>
      </c>
      <c r="H288" s="24">
        <v>52</v>
      </c>
      <c r="I288" s="23">
        <v>48</v>
      </c>
      <c r="J288" s="24">
        <v>52</v>
      </c>
      <c r="K288" s="23">
        <v>48</v>
      </c>
      <c r="L288" s="24">
        <v>0</v>
      </c>
      <c r="M288" s="23">
        <v>24</v>
      </c>
      <c r="N288" s="24">
        <v>214</v>
      </c>
      <c r="O288" s="23">
        <v>133</v>
      </c>
      <c r="P288" s="24">
        <v>194</v>
      </c>
      <c r="Q288" s="23">
        <v>130</v>
      </c>
      <c r="R288" s="24">
        <v>20</v>
      </c>
      <c r="S288" s="23">
        <v>31</v>
      </c>
      <c r="T288" s="24">
        <v>91</v>
      </c>
      <c r="U288" s="23">
        <v>66</v>
      </c>
      <c r="V288" s="24">
        <v>91</v>
      </c>
      <c r="W288" s="23">
        <v>66</v>
      </c>
      <c r="X288" s="24">
        <v>0</v>
      </c>
      <c r="Y288" s="20">
        <v>24</v>
      </c>
      <c r="Z288" s="19">
        <v>293</v>
      </c>
      <c r="AA288" s="23">
        <v>117</v>
      </c>
      <c r="AB288" s="24">
        <v>62</v>
      </c>
      <c r="AC288" s="23">
        <v>42</v>
      </c>
      <c r="AD288" s="24">
        <v>62</v>
      </c>
      <c r="AE288" s="23">
        <v>42</v>
      </c>
      <c r="AF288" s="24">
        <v>0</v>
      </c>
      <c r="AG288" s="23">
        <v>12</v>
      </c>
      <c r="AH288" s="24">
        <v>181</v>
      </c>
      <c r="AI288" s="23">
        <v>74</v>
      </c>
      <c r="AJ288" s="24">
        <v>179</v>
      </c>
      <c r="AK288" s="23">
        <v>74</v>
      </c>
      <c r="AL288" s="24">
        <v>2</v>
      </c>
      <c r="AM288" s="23">
        <v>3</v>
      </c>
      <c r="AN288" s="24">
        <v>50</v>
      </c>
      <c r="AO288" s="23">
        <v>35</v>
      </c>
      <c r="AP288" s="24">
        <v>50</v>
      </c>
      <c r="AQ288" s="23">
        <v>35</v>
      </c>
      <c r="AR288" s="24">
        <v>0</v>
      </c>
      <c r="AS288" s="20">
        <v>12</v>
      </c>
      <c r="AT288" s="19">
        <v>1016</v>
      </c>
      <c r="AU288" s="23">
        <v>224</v>
      </c>
      <c r="AV288" s="24">
        <v>220</v>
      </c>
      <c r="AW288" s="23">
        <v>83</v>
      </c>
      <c r="AX288" s="24">
        <v>178</v>
      </c>
      <c r="AY288" s="23">
        <v>80</v>
      </c>
      <c r="AZ288" s="24">
        <v>42</v>
      </c>
      <c r="BA288" s="23">
        <v>43</v>
      </c>
      <c r="BB288" s="24">
        <v>581</v>
      </c>
      <c r="BC288" s="23">
        <v>137</v>
      </c>
      <c r="BD288" s="24">
        <v>467</v>
      </c>
      <c r="BE288" s="23">
        <v>163</v>
      </c>
      <c r="BF288" s="24">
        <v>114</v>
      </c>
      <c r="BG288" s="23">
        <v>102</v>
      </c>
      <c r="BH288" s="24">
        <v>215</v>
      </c>
      <c r="BI288" s="23">
        <v>67</v>
      </c>
      <c r="BJ288" s="24">
        <v>215</v>
      </c>
      <c r="BK288" s="23">
        <v>67</v>
      </c>
      <c r="BL288" s="24">
        <v>0</v>
      </c>
      <c r="BM288" s="20">
        <v>12</v>
      </c>
      <c r="BN288" s="19">
        <v>377</v>
      </c>
      <c r="BO288" s="23">
        <v>131</v>
      </c>
      <c r="BP288" s="24">
        <v>46</v>
      </c>
      <c r="BQ288" s="23">
        <v>36</v>
      </c>
      <c r="BR288" s="24">
        <v>46</v>
      </c>
      <c r="BS288" s="23">
        <v>36</v>
      </c>
      <c r="BT288" s="26">
        <v>0</v>
      </c>
      <c r="BU288" s="23">
        <v>12</v>
      </c>
      <c r="BV288" s="24">
        <v>266</v>
      </c>
      <c r="BW288" s="23">
        <v>104</v>
      </c>
      <c r="BX288" s="24">
        <v>266</v>
      </c>
      <c r="BY288" s="23">
        <v>104</v>
      </c>
      <c r="BZ288" s="24">
        <v>0</v>
      </c>
      <c r="CA288" s="23">
        <v>12</v>
      </c>
      <c r="CB288" s="24">
        <v>65</v>
      </c>
      <c r="CC288" s="23">
        <v>34</v>
      </c>
      <c r="CD288" s="24">
        <v>65</v>
      </c>
      <c r="CE288" s="23">
        <v>34</v>
      </c>
      <c r="CF288" s="24">
        <v>0</v>
      </c>
      <c r="CG288" s="20">
        <v>12</v>
      </c>
    </row>
    <row r="289" spans="1:85" x14ac:dyDescent="0.3">
      <c r="A289" t="s">
        <v>577</v>
      </c>
      <c r="B289">
        <v>21532</v>
      </c>
      <c r="C289" t="s">
        <v>578</v>
      </c>
      <c r="D289" s="19">
        <v>13180</v>
      </c>
      <c r="E289" s="20">
        <v>572</v>
      </c>
      <c r="F289" s="19">
        <v>3159</v>
      </c>
      <c r="G289" s="23">
        <v>713</v>
      </c>
      <c r="H289" s="24">
        <v>575</v>
      </c>
      <c r="I289" s="23">
        <v>319</v>
      </c>
      <c r="J289" s="24">
        <v>575</v>
      </c>
      <c r="K289" s="23">
        <v>319</v>
      </c>
      <c r="L289" s="24">
        <v>0</v>
      </c>
      <c r="M289" s="23">
        <v>38</v>
      </c>
      <c r="N289" s="24">
        <v>2180</v>
      </c>
      <c r="O289" s="23">
        <v>574</v>
      </c>
      <c r="P289" s="24">
        <v>2029</v>
      </c>
      <c r="Q289" s="23">
        <v>563</v>
      </c>
      <c r="R289" s="24">
        <v>151</v>
      </c>
      <c r="S289" s="23">
        <v>104</v>
      </c>
      <c r="T289" s="24">
        <v>404</v>
      </c>
      <c r="U289" s="23">
        <v>177</v>
      </c>
      <c r="V289" s="24">
        <v>404</v>
      </c>
      <c r="W289" s="23">
        <v>177</v>
      </c>
      <c r="X289" s="24">
        <v>0</v>
      </c>
      <c r="Y289" s="20">
        <v>38</v>
      </c>
      <c r="Z289" s="19">
        <v>1422</v>
      </c>
      <c r="AA289" s="23">
        <v>338</v>
      </c>
      <c r="AB289" s="24">
        <v>465</v>
      </c>
      <c r="AC289" s="23">
        <v>167</v>
      </c>
      <c r="AD289" s="24">
        <v>429</v>
      </c>
      <c r="AE289" s="23">
        <v>161</v>
      </c>
      <c r="AF289" s="24">
        <v>36</v>
      </c>
      <c r="AG289" s="23">
        <v>38</v>
      </c>
      <c r="AH289" s="24">
        <v>634</v>
      </c>
      <c r="AI289" s="23">
        <v>179</v>
      </c>
      <c r="AJ289" s="24">
        <v>507</v>
      </c>
      <c r="AK289" s="23">
        <v>166</v>
      </c>
      <c r="AL289" s="24">
        <v>127</v>
      </c>
      <c r="AM289" s="23">
        <v>62</v>
      </c>
      <c r="AN289" s="24">
        <v>323</v>
      </c>
      <c r="AO289" s="23">
        <v>112</v>
      </c>
      <c r="AP289" s="24">
        <v>323</v>
      </c>
      <c r="AQ289" s="23">
        <v>112</v>
      </c>
      <c r="AR289" s="24">
        <v>0</v>
      </c>
      <c r="AS289" s="20">
        <v>19</v>
      </c>
      <c r="AT289" s="19">
        <v>3848</v>
      </c>
      <c r="AU289" s="23">
        <v>638</v>
      </c>
      <c r="AV289" s="24">
        <v>833</v>
      </c>
      <c r="AW289" s="23">
        <v>237</v>
      </c>
      <c r="AX289" s="24">
        <v>722</v>
      </c>
      <c r="AY289" s="23">
        <v>202</v>
      </c>
      <c r="AZ289" s="24">
        <v>111</v>
      </c>
      <c r="BA289" s="23">
        <v>94</v>
      </c>
      <c r="BB289" s="24">
        <v>2367</v>
      </c>
      <c r="BC289" s="23">
        <v>424</v>
      </c>
      <c r="BD289" s="24">
        <v>2231</v>
      </c>
      <c r="BE289" s="23">
        <v>415</v>
      </c>
      <c r="BF289" s="24">
        <v>136</v>
      </c>
      <c r="BG289" s="23">
        <v>77</v>
      </c>
      <c r="BH289" s="24">
        <v>648</v>
      </c>
      <c r="BI289" s="23">
        <v>162</v>
      </c>
      <c r="BJ289" s="24">
        <v>648</v>
      </c>
      <c r="BK289" s="23">
        <v>162</v>
      </c>
      <c r="BL289" s="24">
        <v>0</v>
      </c>
      <c r="BM289" s="20">
        <v>19</v>
      </c>
      <c r="BN289" s="19">
        <v>4751</v>
      </c>
      <c r="BO289" s="23">
        <v>614</v>
      </c>
      <c r="BP289" s="24">
        <v>809</v>
      </c>
      <c r="BQ289" s="23">
        <v>273</v>
      </c>
      <c r="BR289" s="24">
        <v>809</v>
      </c>
      <c r="BS289" s="23">
        <v>273</v>
      </c>
      <c r="BT289" s="26">
        <v>0</v>
      </c>
      <c r="BU289" s="23">
        <v>19</v>
      </c>
      <c r="BV289" s="24">
        <v>3130</v>
      </c>
      <c r="BW289" s="23">
        <v>429</v>
      </c>
      <c r="BX289" s="24">
        <v>3126</v>
      </c>
      <c r="BY289" s="23">
        <v>430</v>
      </c>
      <c r="BZ289" s="24">
        <v>4</v>
      </c>
      <c r="CA289" s="23">
        <v>7</v>
      </c>
      <c r="CB289" s="24">
        <v>812</v>
      </c>
      <c r="CC289" s="23">
        <v>164</v>
      </c>
      <c r="CD289" s="24">
        <v>812</v>
      </c>
      <c r="CE289" s="23">
        <v>164</v>
      </c>
      <c r="CF289" s="24">
        <v>0</v>
      </c>
      <c r="CG289" s="20">
        <v>19</v>
      </c>
    </row>
    <row r="290" spans="1:85" x14ac:dyDescent="0.3">
      <c r="A290" t="s">
        <v>579</v>
      </c>
      <c r="B290">
        <v>21536</v>
      </c>
      <c r="C290" t="s">
        <v>580</v>
      </c>
      <c r="D290" s="19">
        <v>3882</v>
      </c>
      <c r="E290" s="20">
        <v>361</v>
      </c>
      <c r="F290" s="19">
        <v>870</v>
      </c>
      <c r="G290" s="23">
        <v>432</v>
      </c>
      <c r="H290" s="24">
        <v>314</v>
      </c>
      <c r="I290" s="23">
        <v>248</v>
      </c>
      <c r="J290" s="24">
        <v>302</v>
      </c>
      <c r="K290" s="23">
        <v>245</v>
      </c>
      <c r="L290" s="24">
        <v>12</v>
      </c>
      <c r="M290" s="23">
        <v>30</v>
      </c>
      <c r="N290" s="24">
        <v>442</v>
      </c>
      <c r="O290" s="23">
        <v>207</v>
      </c>
      <c r="P290" s="24">
        <v>337</v>
      </c>
      <c r="Q290" s="23">
        <v>176</v>
      </c>
      <c r="R290" s="24">
        <v>105</v>
      </c>
      <c r="S290" s="23">
        <v>84</v>
      </c>
      <c r="T290" s="24">
        <v>114</v>
      </c>
      <c r="U290" s="23">
        <v>80</v>
      </c>
      <c r="V290" s="24">
        <v>103</v>
      </c>
      <c r="W290" s="23">
        <v>75</v>
      </c>
      <c r="X290" s="24">
        <v>11</v>
      </c>
      <c r="Y290" s="20">
        <v>29</v>
      </c>
      <c r="Z290" s="19">
        <v>512</v>
      </c>
      <c r="AA290" s="23">
        <v>204</v>
      </c>
      <c r="AB290" s="24">
        <v>95</v>
      </c>
      <c r="AC290" s="23">
        <v>93</v>
      </c>
      <c r="AD290" s="24">
        <v>95</v>
      </c>
      <c r="AE290" s="23">
        <v>93</v>
      </c>
      <c r="AF290" s="24">
        <v>0</v>
      </c>
      <c r="AG290" s="23">
        <v>12</v>
      </c>
      <c r="AH290" s="24">
        <v>290</v>
      </c>
      <c r="AI290" s="23">
        <v>121</v>
      </c>
      <c r="AJ290" s="24">
        <v>234</v>
      </c>
      <c r="AK290" s="23">
        <v>105</v>
      </c>
      <c r="AL290" s="24">
        <v>56</v>
      </c>
      <c r="AM290" s="23">
        <v>40</v>
      </c>
      <c r="AN290" s="24">
        <v>127</v>
      </c>
      <c r="AO290" s="23">
        <v>63</v>
      </c>
      <c r="AP290" s="24">
        <v>127</v>
      </c>
      <c r="AQ290" s="23">
        <v>63</v>
      </c>
      <c r="AR290" s="24">
        <v>0</v>
      </c>
      <c r="AS290" s="20">
        <v>12</v>
      </c>
      <c r="AT290" s="19">
        <v>1405</v>
      </c>
      <c r="AU290" s="23">
        <v>285</v>
      </c>
      <c r="AV290" s="24">
        <v>296</v>
      </c>
      <c r="AW290" s="23">
        <v>106</v>
      </c>
      <c r="AX290" s="24">
        <v>259</v>
      </c>
      <c r="AY290" s="23">
        <v>107</v>
      </c>
      <c r="AZ290" s="24">
        <v>37</v>
      </c>
      <c r="BA290" s="23">
        <v>60</v>
      </c>
      <c r="BB290" s="24">
        <v>835</v>
      </c>
      <c r="BC290" s="23">
        <v>175</v>
      </c>
      <c r="BD290" s="24">
        <v>781</v>
      </c>
      <c r="BE290" s="23">
        <v>178</v>
      </c>
      <c r="BF290" s="24">
        <v>54</v>
      </c>
      <c r="BG290" s="23">
        <v>53</v>
      </c>
      <c r="BH290" s="24">
        <v>274</v>
      </c>
      <c r="BI290" s="23">
        <v>104</v>
      </c>
      <c r="BJ290" s="24">
        <v>274</v>
      </c>
      <c r="BK290" s="23">
        <v>104</v>
      </c>
      <c r="BL290" s="24">
        <v>0</v>
      </c>
      <c r="BM290" s="20">
        <v>12</v>
      </c>
      <c r="BN290" s="19">
        <v>1095</v>
      </c>
      <c r="BO290" s="23">
        <v>247</v>
      </c>
      <c r="BP290" s="24">
        <v>150</v>
      </c>
      <c r="BQ290" s="23">
        <v>88</v>
      </c>
      <c r="BR290" s="24">
        <v>110</v>
      </c>
      <c r="BS290" s="23">
        <v>61</v>
      </c>
      <c r="BT290" s="26">
        <v>40</v>
      </c>
      <c r="BU290" s="23">
        <v>62</v>
      </c>
      <c r="BV290" s="24">
        <v>731</v>
      </c>
      <c r="BW290" s="23">
        <v>177</v>
      </c>
      <c r="BX290" s="24">
        <v>690</v>
      </c>
      <c r="BY290" s="23">
        <v>172</v>
      </c>
      <c r="BZ290" s="24">
        <v>41</v>
      </c>
      <c r="CA290" s="23">
        <v>34</v>
      </c>
      <c r="CB290" s="24">
        <v>214</v>
      </c>
      <c r="CC290" s="23">
        <v>82</v>
      </c>
      <c r="CD290" s="24">
        <v>214</v>
      </c>
      <c r="CE290" s="23">
        <v>82</v>
      </c>
      <c r="CF290" s="24">
        <v>0</v>
      </c>
      <c r="CG290" s="20">
        <v>12</v>
      </c>
    </row>
    <row r="291" spans="1:85" x14ac:dyDescent="0.3">
      <c r="A291" t="s">
        <v>581</v>
      </c>
      <c r="B291">
        <v>21538</v>
      </c>
      <c r="C291" t="s">
        <v>582</v>
      </c>
      <c r="D291" s="19">
        <v>425</v>
      </c>
      <c r="E291" s="20">
        <v>94</v>
      </c>
      <c r="F291" s="19">
        <v>90</v>
      </c>
      <c r="G291" s="23">
        <v>66</v>
      </c>
      <c r="H291" s="24">
        <v>21</v>
      </c>
      <c r="I291" s="23">
        <v>23</v>
      </c>
      <c r="J291" s="24">
        <v>21</v>
      </c>
      <c r="K291" s="23">
        <v>23</v>
      </c>
      <c r="L291" s="24">
        <v>0</v>
      </c>
      <c r="M291" s="23">
        <v>24</v>
      </c>
      <c r="N291" s="24">
        <v>56</v>
      </c>
      <c r="O291" s="23">
        <v>47</v>
      </c>
      <c r="P291" s="24">
        <v>53</v>
      </c>
      <c r="Q291" s="23">
        <v>48</v>
      </c>
      <c r="R291" s="24">
        <v>3</v>
      </c>
      <c r="S291" s="23">
        <v>18</v>
      </c>
      <c r="T291" s="24">
        <v>13</v>
      </c>
      <c r="U291" s="23">
        <v>14</v>
      </c>
      <c r="V291" s="24">
        <v>13</v>
      </c>
      <c r="W291" s="23">
        <v>14</v>
      </c>
      <c r="X291" s="24">
        <v>0</v>
      </c>
      <c r="Y291" s="20">
        <v>24</v>
      </c>
      <c r="Z291" s="19">
        <v>65</v>
      </c>
      <c r="AA291" s="23">
        <v>45</v>
      </c>
      <c r="AB291" s="24">
        <v>6</v>
      </c>
      <c r="AC291" s="23">
        <v>7</v>
      </c>
      <c r="AD291" s="24">
        <v>4</v>
      </c>
      <c r="AE291" s="23">
        <v>6</v>
      </c>
      <c r="AF291" s="24">
        <v>2</v>
      </c>
      <c r="AG291" s="23">
        <v>4</v>
      </c>
      <c r="AH291" s="24">
        <v>19</v>
      </c>
      <c r="AI291" s="23">
        <v>18</v>
      </c>
      <c r="AJ291" s="24">
        <v>17</v>
      </c>
      <c r="AK291" s="23">
        <v>18</v>
      </c>
      <c r="AL291" s="24">
        <v>2</v>
      </c>
      <c r="AM291" s="23">
        <v>3</v>
      </c>
      <c r="AN291" s="24">
        <v>40</v>
      </c>
      <c r="AO291" s="23">
        <v>38</v>
      </c>
      <c r="AP291" s="24">
        <v>40</v>
      </c>
      <c r="AQ291" s="23">
        <v>38</v>
      </c>
      <c r="AR291" s="24">
        <v>0</v>
      </c>
      <c r="AS291" s="20">
        <v>12</v>
      </c>
      <c r="AT291" s="19">
        <v>216</v>
      </c>
      <c r="AU291" s="23">
        <v>89</v>
      </c>
      <c r="AV291" s="24">
        <v>41</v>
      </c>
      <c r="AW291" s="23">
        <v>31</v>
      </c>
      <c r="AX291" s="24">
        <v>39</v>
      </c>
      <c r="AY291" s="23">
        <v>32</v>
      </c>
      <c r="AZ291" s="24">
        <v>2</v>
      </c>
      <c r="BA291" s="23">
        <v>3</v>
      </c>
      <c r="BB291" s="24">
        <v>123</v>
      </c>
      <c r="BC291" s="23">
        <v>61</v>
      </c>
      <c r="BD291" s="24">
        <v>122</v>
      </c>
      <c r="BE291" s="23">
        <v>61</v>
      </c>
      <c r="BF291" s="24">
        <v>1</v>
      </c>
      <c r="BG291" s="23">
        <v>4</v>
      </c>
      <c r="BH291" s="24">
        <v>52</v>
      </c>
      <c r="BI291" s="23">
        <v>26</v>
      </c>
      <c r="BJ291" s="24">
        <v>52</v>
      </c>
      <c r="BK291" s="23">
        <v>26</v>
      </c>
      <c r="BL291" s="24">
        <v>0</v>
      </c>
      <c r="BM291" s="20">
        <v>12</v>
      </c>
      <c r="BN291" s="19">
        <v>54</v>
      </c>
      <c r="BO291" s="23">
        <v>26</v>
      </c>
      <c r="BP291" s="24">
        <v>5</v>
      </c>
      <c r="BQ291" s="23">
        <v>6</v>
      </c>
      <c r="BR291" s="24">
        <v>5</v>
      </c>
      <c r="BS291" s="23">
        <v>6</v>
      </c>
      <c r="BT291" s="26">
        <v>0</v>
      </c>
      <c r="BU291" s="23">
        <v>12</v>
      </c>
      <c r="BV291" s="24">
        <v>41</v>
      </c>
      <c r="BW291" s="23">
        <v>22</v>
      </c>
      <c r="BX291" s="24">
        <v>39</v>
      </c>
      <c r="BY291" s="23">
        <v>23</v>
      </c>
      <c r="BZ291" s="24">
        <v>2</v>
      </c>
      <c r="CA291" s="23">
        <v>5</v>
      </c>
      <c r="CB291" s="24">
        <v>8</v>
      </c>
      <c r="CC291" s="23">
        <v>7</v>
      </c>
      <c r="CD291" s="24">
        <v>8</v>
      </c>
      <c r="CE291" s="23">
        <v>7</v>
      </c>
      <c r="CF291" s="24">
        <v>0</v>
      </c>
      <c r="CG291" s="20">
        <v>12</v>
      </c>
    </row>
    <row r="292" spans="1:85" x14ac:dyDescent="0.3">
      <c r="A292" t="s">
        <v>583</v>
      </c>
      <c r="B292">
        <v>21539</v>
      </c>
      <c r="C292" t="s">
        <v>584</v>
      </c>
      <c r="D292" s="19">
        <v>2619</v>
      </c>
      <c r="E292" s="20">
        <v>376</v>
      </c>
      <c r="F292" s="19">
        <v>453</v>
      </c>
      <c r="G292" s="23">
        <v>200</v>
      </c>
      <c r="H292" s="24">
        <v>118</v>
      </c>
      <c r="I292" s="23">
        <v>89</v>
      </c>
      <c r="J292" s="24">
        <v>118</v>
      </c>
      <c r="K292" s="23">
        <v>89</v>
      </c>
      <c r="L292" s="24">
        <v>0</v>
      </c>
      <c r="M292" s="23">
        <v>24</v>
      </c>
      <c r="N292" s="24">
        <v>252</v>
      </c>
      <c r="O292" s="23">
        <v>128</v>
      </c>
      <c r="P292" s="24">
        <v>238</v>
      </c>
      <c r="Q292" s="23">
        <v>120</v>
      </c>
      <c r="R292" s="24">
        <v>14</v>
      </c>
      <c r="S292" s="23">
        <v>26</v>
      </c>
      <c r="T292" s="24">
        <v>83</v>
      </c>
      <c r="U292" s="23">
        <v>69</v>
      </c>
      <c r="V292" s="24">
        <v>83</v>
      </c>
      <c r="W292" s="23">
        <v>69</v>
      </c>
      <c r="X292" s="24">
        <v>0</v>
      </c>
      <c r="Y292" s="20">
        <v>24</v>
      </c>
      <c r="Z292" s="19">
        <v>394</v>
      </c>
      <c r="AA292" s="23">
        <v>163</v>
      </c>
      <c r="AB292" s="24">
        <v>85</v>
      </c>
      <c r="AC292" s="23">
        <v>54</v>
      </c>
      <c r="AD292" s="24">
        <v>85</v>
      </c>
      <c r="AE292" s="23">
        <v>54</v>
      </c>
      <c r="AF292" s="24">
        <v>0</v>
      </c>
      <c r="AG292" s="23">
        <v>12</v>
      </c>
      <c r="AH292" s="24">
        <v>215</v>
      </c>
      <c r="AI292" s="23">
        <v>111</v>
      </c>
      <c r="AJ292" s="24">
        <v>210</v>
      </c>
      <c r="AK292" s="23">
        <v>111</v>
      </c>
      <c r="AL292" s="24">
        <v>5</v>
      </c>
      <c r="AM292" s="23">
        <v>7</v>
      </c>
      <c r="AN292" s="24">
        <v>94</v>
      </c>
      <c r="AO292" s="23">
        <v>53</v>
      </c>
      <c r="AP292" s="24">
        <v>94</v>
      </c>
      <c r="AQ292" s="23">
        <v>53</v>
      </c>
      <c r="AR292" s="24">
        <v>0</v>
      </c>
      <c r="AS292" s="20">
        <v>12</v>
      </c>
      <c r="AT292" s="19">
        <v>1077</v>
      </c>
      <c r="AU292" s="23">
        <v>322</v>
      </c>
      <c r="AV292" s="24">
        <v>244</v>
      </c>
      <c r="AW292" s="23">
        <v>119</v>
      </c>
      <c r="AX292" s="24">
        <v>240</v>
      </c>
      <c r="AY292" s="23">
        <v>119</v>
      </c>
      <c r="AZ292" s="24">
        <v>4</v>
      </c>
      <c r="BA292" s="23">
        <v>6</v>
      </c>
      <c r="BB292" s="24">
        <v>574</v>
      </c>
      <c r="BC292" s="23">
        <v>175</v>
      </c>
      <c r="BD292" s="24">
        <v>560</v>
      </c>
      <c r="BE292" s="23">
        <v>173</v>
      </c>
      <c r="BF292" s="24">
        <v>14</v>
      </c>
      <c r="BG292" s="23">
        <v>14</v>
      </c>
      <c r="BH292" s="24">
        <v>259</v>
      </c>
      <c r="BI292" s="23">
        <v>125</v>
      </c>
      <c r="BJ292" s="24">
        <v>259</v>
      </c>
      <c r="BK292" s="23">
        <v>125</v>
      </c>
      <c r="BL292" s="24">
        <v>0</v>
      </c>
      <c r="BM292" s="20">
        <v>12</v>
      </c>
      <c r="BN292" s="19">
        <v>695</v>
      </c>
      <c r="BO292" s="23">
        <v>216</v>
      </c>
      <c r="BP292" s="24">
        <v>120</v>
      </c>
      <c r="BQ292" s="23">
        <v>66</v>
      </c>
      <c r="BR292" s="24">
        <v>112</v>
      </c>
      <c r="BS292" s="23">
        <v>65</v>
      </c>
      <c r="BT292" s="26">
        <v>8</v>
      </c>
      <c r="BU292" s="23">
        <v>13</v>
      </c>
      <c r="BV292" s="24">
        <v>441</v>
      </c>
      <c r="BW292" s="23">
        <v>132</v>
      </c>
      <c r="BX292" s="24">
        <v>406</v>
      </c>
      <c r="BY292" s="23">
        <v>115</v>
      </c>
      <c r="BZ292" s="24">
        <v>35</v>
      </c>
      <c r="CA292" s="23">
        <v>48</v>
      </c>
      <c r="CB292" s="24">
        <v>134</v>
      </c>
      <c r="CC292" s="23">
        <v>48</v>
      </c>
      <c r="CD292" s="24">
        <v>134</v>
      </c>
      <c r="CE292" s="23">
        <v>48</v>
      </c>
      <c r="CF292" s="24">
        <v>0</v>
      </c>
      <c r="CG292" s="20">
        <v>12</v>
      </c>
    </row>
    <row r="293" spans="1:85" x14ac:dyDescent="0.3">
      <c r="A293" t="s">
        <v>585</v>
      </c>
      <c r="B293">
        <v>21540</v>
      </c>
      <c r="C293" t="s">
        <v>586</v>
      </c>
      <c r="D293" s="19">
        <v>85</v>
      </c>
      <c r="E293" s="20">
        <v>37</v>
      </c>
      <c r="F293" s="19">
        <v>31</v>
      </c>
      <c r="G293" s="23">
        <v>30</v>
      </c>
      <c r="H293" s="24">
        <v>12</v>
      </c>
      <c r="I293" s="23">
        <v>27</v>
      </c>
      <c r="J293" s="24">
        <v>12</v>
      </c>
      <c r="K293" s="23">
        <v>27</v>
      </c>
      <c r="L293" s="24">
        <v>0</v>
      </c>
      <c r="M293" s="23">
        <v>24</v>
      </c>
      <c r="N293" s="24">
        <v>15</v>
      </c>
      <c r="O293" s="23">
        <v>13</v>
      </c>
      <c r="P293" s="24">
        <v>14</v>
      </c>
      <c r="Q293" s="23">
        <v>13</v>
      </c>
      <c r="R293" s="24">
        <v>1</v>
      </c>
      <c r="S293" s="23">
        <v>14</v>
      </c>
      <c r="T293" s="24">
        <v>4</v>
      </c>
      <c r="U293" s="23">
        <v>7</v>
      </c>
      <c r="V293" s="24">
        <v>4</v>
      </c>
      <c r="W293" s="23">
        <v>7</v>
      </c>
      <c r="X293" s="24">
        <v>0</v>
      </c>
      <c r="Y293" s="20">
        <v>24</v>
      </c>
      <c r="Z293" s="19">
        <v>18</v>
      </c>
      <c r="AA293" s="23">
        <v>22</v>
      </c>
      <c r="AB293" s="24">
        <v>6</v>
      </c>
      <c r="AC293" s="23">
        <v>9</v>
      </c>
      <c r="AD293" s="24">
        <v>6</v>
      </c>
      <c r="AE293" s="23">
        <v>9</v>
      </c>
      <c r="AF293" s="24">
        <v>0</v>
      </c>
      <c r="AG293" s="23">
        <v>12</v>
      </c>
      <c r="AH293" s="24">
        <v>11</v>
      </c>
      <c r="AI293" s="23">
        <v>14</v>
      </c>
      <c r="AJ293" s="24">
        <v>6</v>
      </c>
      <c r="AK293" s="23">
        <v>9</v>
      </c>
      <c r="AL293" s="24">
        <v>5</v>
      </c>
      <c r="AM293" s="23">
        <v>8</v>
      </c>
      <c r="AN293" s="24">
        <v>1</v>
      </c>
      <c r="AO293" s="23">
        <v>2</v>
      </c>
      <c r="AP293" s="24">
        <v>1</v>
      </c>
      <c r="AQ293" s="23">
        <v>2</v>
      </c>
      <c r="AR293" s="24">
        <v>0</v>
      </c>
      <c r="AS293" s="20">
        <v>12</v>
      </c>
      <c r="AT293" s="19">
        <v>35</v>
      </c>
      <c r="AU293" s="23">
        <v>17</v>
      </c>
      <c r="AV293" s="24">
        <v>2</v>
      </c>
      <c r="AW293" s="23">
        <v>3</v>
      </c>
      <c r="AX293" s="24">
        <v>2</v>
      </c>
      <c r="AY293" s="23">
        <v>3</v>
      </c>
      <c r="AZ293" s="24">
        <v>0</v>
      </c>
      <c r="BA293" s="23">
        <v>12</v>
      </c>
      <c r="BB293" s="24">
        <v>24</v>
      </c>
      <c r="BC293" s="23">
        <v>16</v>
      </c>
      <c r="BD293" s="24">
        <v>24</v>
      </c>
      <c r="BE293" s="23">
        <v>16</v>
      </c>
      <c r="BF293" s="24">
        <v>0</v>
      </c>
      <c r="BG293" s="23">
        <v>12</v>
      </c>
      <c r="BH293" s="24">
        <v>9</v>
      </c>
      <c r="BI293" s="23">
        <v>10</v>
      </c>
      <c r="BJ293" s="24">
        <v>9</v>
      </c>
      <c r="BK293" s="23">
        <v>10</v>
      </c>
      <c r="BL293" s="24">
        <v>0</v>
      </c>
      <c r="BM293" s="20">
        <v>12</v>
      </c>
      <c r="BN293" s="19">
        <v>1</v>
      </c>
      <c r="BO293" s="23">
        <v>3</v>
      </c>
      <c r="BP293" s="24">
        <v>0</v>
      </c>
      <c r="BQ293" s="23">
        <v>12</v>
      </c>
      <c r="BR293" s="24">
        <v>0</v>
      </c>
      <c r="BS293" s="23">
        <v>12</v>
      </c>
      <c r="BT293" s="26">
        <v>0</v>
      </c>
      <c r="BU293" s="23">
        <v>12</v>
      </c>
      <c r="BV293" s="24">
        <v>1</v>
      </c>
      <c r="BW293" s="23">
        <v>3</v>
      </c>
      <c r="BX293" s="24">
        <v>1</v>
      </c>
      <c r="BY293" s="23">
        <v>3</v>
      </c>
      <c r="BZ293" s="24">
        <v>0</v>
      </c>
      <c r="CA293" s="23">
        <v>12</v>
      </c>
      <c r="CB293" s="24">
        <v>0</v>
      </c>
      <c r="CC293" s="23">
        <v>12</v>
      </c>
      <c r="CD293" s="24">
        <v>0</v>
      </c>
      <c r="CE293" s="23">
        <v>12</v>
      </c>
      <c r="CF293" s="24">
        <v>0</v>
      </c>
      <c r="CG293" s="20">
        <v>12</v>
      </c>
    </row>
    <row r="294" spans="1:85" x14ac:dyDescent="0.3">
      <c r="A294" t="s">
        <v>587</v>
      </c>
      <c r="B294">
        <v>21541</v>
      </c>
      <c r="C294" t="s">
        <v>588</v>
      </c>
      <c r="D294" s="19">
        <v>1162</v>
      </c>
      <c r="E294" s="20">
        <v>236</v>
      </c>
      <c r="F294" s="19">
        <v>141</v>
      </c>
      <c r="G294" s="23">
        <v>99</v>
      </c>
      <c r="H294" s="24">
        <v>27</v>
      </c>
      <c r="I294" s="23">
        <v>41</v>
      </c>
      <c r="J294" s="24">
        <v>27</v>
      </c>
      <c r="K294" s="23">
        <v>41</v>
      </c>
      <c r="L294" s="24">
        <v>0</v>
      </c>
      <c r="M294" s="23">
        <v>24</v>
      </c>
      <c r="N294" s="24">
        <v>87</v>
      </c>
      <c r="O294" s="23">
        <v>66</v>
      </c>
      <c r="P294" s="24">
        <v>87</v>
      </c>
      <c r="Q294" s="23">
        <v>66</v>
      </c>
      <c r="R294" s="24">
        <v>0</v>
      </c>
      <c r="S294" s="23">
        <v>24</v>
      </c>
      <c r="T294" s="24">
        <v>27</v>
      </c>
      <c r="U294" s="23">
        <v>45</v>
      </c>
      <c r="V294" s="24">
        <v>27</v>
      </c>
      <c r="W294" s="23">
        <v>45</v>
      </c>
      <c r="X294" s="24">
        <v>0</v>
      </c>
      <c r="Y294" s="20">
        <v>24</v>
      </c>
      <c r="Z294" s="19">
        <v>178</v>
      </c>
      <c r="AA294" s="23">
        <v>108</v>
      </c>
      <c r="AB294" s="24">
        <v>48</v>
      </c>
      <c r="AC294" s="23">
        <v>40</v>
      </c>
      <c r="AD294" s="24">
        <v>48</v>
      </c>
      <c r="AE294" s="23">
        <v>40</v>
      </c>
      <c r="AF294" s="24">
        <v>0</v>
      </c>
      <c r="AG294" s="23">
        <v>12</v>
      </c>
      <c r="AH294" s="24">
        <v>87</v>
      </c>
      <c r="AI294" s="23">
        <v>62</v>
      </c>
      <c r="AJ294" s="24">
        <v>87</v>
      </c>
      <c r="AK294" s="23">
        <v>62</v>
      </c>
      <c r="AL294" s="24">
        <v>0</v>
      </c>
      <c r="AM294" s="23">
        <v>12</v>
      </c>
      <c r="AN294" s="24">
        <v>43</v>
      </c>
      <c r="AO294" s="23">
        <v>30</v>
      </c>
      <c r="AP294" s="24">
        <v>43</v>
      </c>
      <c r="AQ294" s="23">
        <v>30</v>
      </c>
      <c r="AR294" s="24">
        <v>0</v>
      </c>
      <c r="AS294" s="20">
        <v>12</v>
      </c>
      <c r="AT294" s="19">
        <v>402</v>
      </c>
      <c r="AU294" s="23">
        <v>194</v>
      </c>
      <c r="AV294" s="24">
        <v>54</v>
      </c>
      <c r="AW294" s="23">
        <v>70</v>
      </c>
      <c r="AX294" s="24">
        <v>54</v>
      </c>
      <c r="AY294" s="23">
        <v>70</v>
      </c>
      <c r="AZ294" s="24">
        <v>0</v>
      </c>
      <c r="BA294" s="23">
        <v>12</v>
      </c>
      <c r="BB294" s="24">
        <v>290</v>
      </c>
      <c r="BC294" s="23">
        <v>146</v>
      </c>
      <c r="BD294" s="24">
        <v>245</v>
      </c>
      <c r="BE294" s="23">
        <v>128</v>
      </c>
      <c r="BF294" s="24">
        <v>45</v>
      </c>
      <c r="BG294" s="23">
        <v>71</v>
      </c>
      <c r="BH294" s="24">
        <v>58</v>
      </c>
      <c r="BI294" s="23">
        <v>52</v>
      </c>
      <c r="BJ294" s="24">
        <v>58</v>
      </c>
      <c r="BK294" s="23">
        <v>52</v>
      </c>
      <c r="BL294" s="24">
        <v>0</v>
      </c>
      <c r="BM294" s="20">
        <v>12</v>
      </c>
      <c r="BN294" s="19">
        <v>441</v>
      </c>
      <c r="BO294" s="23">
        <v>207</v>
      </c>
      <c r="BP294" s="24">
        <v>67</v>
      </c>
      <c r="BQ294" s="23">
        <v>64</v>
      </c>
      <c r="BR294" s="24">
        <v>67</v>
      </c>
      <c r="BS294" s="23">
        <v>64</v>
      </c>
      <c r="BT294" s="26">
        <v>0</v>
      </c>
      <c r="BU294" s="23">
        <v>12</v>
      </c>
      <c r="BV294" s="24">
        <v>293</v>
      </c>
      <c r="BW294" s="23">
        <v>165</v>
      </c>
      <c r="BX294" s="24">
        <v>293</v>
      </c>
      <c r="BY294" s="23">
        <v>165</v>
      </c>
      <c r="BZ294" s="24">
        <v>0</v>
      </c>
      <c r="CA294" s="23">
        <v>12</v>
      </c>
      <c r="CB294" s="24">
        <v>81</v>
      </c>
      <c r="CC294" s="23">
        <v>69</v>
      </c>
      <c r="CD294" s="24">
        <v>81</v>
      </c>
      <c r="CE294" s="23">
        <v>69</v>
      </c>
      <c r="CF294" s="24">
        <v>0</v>
      </c>
      <c r="CG294" s="20">
        <v>12</v>
      </c>
    </row>
    <row r="295" spans="1:85" x14ac:dyDescent="0.3">
      <c r="A295" t="s">
        <v>589</v>
      </c>
      <c r="B295">
        <v>21542</v>
      </c>
      <c r="C295" t="s">
        <v>590</v>
      </c>
      <c r="D295" s="19">
        <v>664</v>
      </c>
      <c r="E295" s="20">
        <v>139</v>
      </c>
      <c r="F295" s="19">
        <v>216</v>
      </c>
      <c r="G295" s="23">
        <v>117</v>
      </c>
      <c r="H295" s="24">
        <v>85</v>
      </c>
      <c r="I295" s="23">
        <v>68</v>
      </c>
      <c r="J295" s="24">
        <v>85</v>
      </c>
      <c r="K295" s="23">
        <v>68</v>
      </c>
      <c r="L295" s="24">
        <v>0</v>
      </c>
      <c r="M295" s="23">
        <v>24</v>
      </c>
      <c r="N295" s="24">
        <v>102</v>
      </c>
      <c r="O295" s="23">
        <v>56</v>
      </c>
      <c r="P295" s="24">
        <v>82</v>
      </c>
      <c r="Q295" s="23">
        <v>44</v>
      </c>
      <c r="R295" s="24">
        <v>20</v>
      </c>
      <c r="S295" s="23">
        <v>21</v>
      </c>
      <c r="T295" s="24">
        <v>29</v>
      </c>
      <c r="U295" s="23">
        <v>27</v>
      </c>
      <c r="V295" s="24">
        <v>29</v>
      </c>
      <c r="W295" s="23">
        <v>27</v>
      </c>
      <c r="X295" s="24">
        <v>0</v>
      </c>
      <c r="Y295" s="20">
        <v>24</v>
      </c>
      <c r="Z295" s="19">
        <v>59</v>
      </c>
      <c r="AA295" s="23">
        <v>55</v>
      </c>
      <c r="AB295" s="24">
        <v>9</v>
      </c>
      <c r="AC295" s="23">
        <v>14</v>
      </c>
      <c r="AD295" s="24">
        <v>9</v>
      </c>
      <c r="AE295" s="23">
        <v>14</v>
      </c>
      <c r="AF295" s="24">
        <v>0</v>
      </c>
      <c r="AG295" s="23">
        <v>12</v>
      </c>
      <c r="AH295" s="24">
        <v>42</v>
      </c>
      <c r="AI295" s="23">
        <v>41</v>
      </c>
      <c r="AJ295" s="24">
        <v>33</v>
      </c>
      <c r="AK295" s="23">
        <v>38</v>
      </c>
      <c r="AL295" s="24">
        <v>9</v>
      </c>
      <c r="AM295" s="23">
        <v>14</v>
      </c>
      <c r="AN295" s="24">
        <v>8</v>
      </c>
      <c r="AO295" s="23">
        <v>9</v>
      </c>
      <c r="AP295" s="24">
        <v>8</v>
      </c>
      <c r="AQ295" s="23">
        <v>9</v>
      </c>
      <c r="AR295" s="24">
        <v>0</v>
      </c>
      <c r="AS295" s="20">
        <v>12</v>
      </c>
      <c r="AT295" s="19">
        <v>225</v>
      </c>
      <c r="AU295" s="23">
        <v>102</v>
      </c>
      <c r="AV295" s="24">
        <v>14</v>
      </c>
      <c r="AW295" s="23">
        <v>15</v>
      </c>
      <c r="AX295" s="24">
        <v>14</v>
      </c>
      <c r="AY295" s="23">
        <v>15</v>
      </c>
      <c r="AZ295" s="24">
        <v>0</v>
      </c>
      <c r="BA295" s="23">
        <v>12</v>
      </c>
      <c r="BB295" s="24">
        <v>124</v>
      </c>
      <c r="BC295" s="23">
        <v>69</v>
      </c>
      <c r="BD295" s="24">
        <v>115</v>
      </c>
      <c r="BE295" s="23">
        <v>62</v>
      </c>
      <c r="BF295" s="24">
        <v>9</v>
      </c>
      <c r="BG295" s="23">
        <v>13</v>
      </c>
      <c r="BH295" s="24">
        <v>87</v>
      </c>
      <c r="BI295" s="23">
        <v>49</v>
      </c>
      <c r="BJ295" s="24">
        <v>87</v>
      </c>
      <c r="BK295" s="23">
        <v>49</v>
      </c>
      <c r="BL295" s="24">
        <v>0</v>
      </c>
      <c r="BM295" s="20">
        <v>12</v>
      </c>
      <c r="BN295" s="19">
        <v>164</v>
      </c>
      <c r="BO295" s="23">
        <v>58</v>
      </c>
      <c r="BP295" s="24">
        <v>10</v>
      </c>
      <c r="BQ295" s="23">
        <v>13</v>
      </c>
      <c r="BR295" s="24">
        <v>10</v>
      </c>
      <c r="BS295" s="23">
        <v>13</v>
      </c>
      <c r="BT295" s="26">
        <v>0</v>
      </c>
      <c r="BU295" s="23">
        <v>12</v>
      </c>
      <c r="BV295" s="24">
        <v>116</v>
      </c>
      <c r="BW295" s="23">
        <v>42</v>
      </c>
      <c r="BX295" s="24">
        <v>104</v>
      </c>
      <c r="BY295" s="23">
        <v>35</v>
      </c>
      <c r="BZ295" s="24">
        <v>12</v>
      </c>
      <c r="CA295" s="23">
        <v>16</v>
      </c>
      <c r="CB295" s="24">
        <v>38</v>
      </c>
      <c r="CC295" s="23">
        <v>22</v>
      </c>
      <c r="CD295" s="24">
        <v>38</v>
      </c>
      <c r="CE295" s="23">
        <v>22</v>
      </c>
      <c r="CF295" s="24">
        <v>0</v>
      </c>
      <c r="CG295" s="20">
        <v>12</v>
      </c>
    </row>
    <row r="296" spans="1:85" x14ac:dyDescent="0.3">
      <c r="A296" t="s">
        <v>591</v>
      </c>
      <c r="B296">
        <v>21543</v>
      </c>
      <c r="C296" t="s">
        <v>592</v>
      </c>
      <c r="D296" s="19">
        <v>182</v>
      </c>
      <c r="E296" s="20">
        <v>76</v>
      </c>
      <c r="F296" s="19">
        <v>0</v>
      </c>
      <c r="G296" s="23">
        <v>24</v>
      </c>
      <c r="H296" s="24">
        <v>0</v>
      </c>
      <c r="I296" s="23">
        <v>24</v>
      </c>
      <c r="J296" s="24">
        <v>0</v>
      </c>
      <c r="K296" s="23">
        <v>24</v>
      </c>
      <c r="L296" s="24">
        <v>0</v>
      </c>
      <c r="M296" s="23">
        <v>24</v>
      </c>
      <c r="N296" s="24">
        <v>0</v>
      </c>
      <c r="O296" s="23">
        <v>24</v>
      </c>
      <c r="P296" s="24">
        <v>0</v>
      </c>
      <c r="Q296" s="23">
        <v>24</v>
      </c>
      <c r="R296" s="24">
        <v>0</v>
      </c>
      <c r="S296" s="23">
        <v>24</v>
      </c>
      <c r="T296" s="24">
        <v>0</v>
      </c>
      <c r="U296" s="23">
        <v>24</v>
      </c>
      <c r="V296" s="24">
        <v>0</v>
      </c>
      <c r="W296" s="23">
        <v>24</v>
      </c>
      <c r="X296" s="24">
        <v>0</v>
      </c>
      <c r="Y296" s="20">
        <v>24</v>
      </c>
      <c r="Z296" s="19">
        <v>22</v>
      </c>
      <c r="AA296" s="23">
        <v>32</v>
      </c>
      <c r="AB296" s="24">
        <v>0</v>
      </c>
      <c r="AC296" s="23">
        <v>12</v>
      </c>
      <c r="AD296" s="24">
        <v>0</v>
      </c>
      <c r="AE296" s="23">
        <v>12</v>
      </c>
      <c r="AF296" s="24">
        <v>0</v>
      </c>
      <c r="AG296" s="23">
        <v>12</v>
      </c>
      <c r="AH296" s="24">
        <v>12</v>
      </c>
      <c r="AI296" s="23">
        <v>17</v>
      </c>
      <c r="AJ296" s="24">
        <v>12</v>
      </c>
      <c r="AK296" s="23">
        <v>17</v>
      </c>
      <c r="AL296" s="24">
        <v>0</v>
      </c>
      <c r="AM296" s="23">
        <v>12</v>
      </c>
      <c r="AN296" s="24">
        <v>10</v>
      </c>
      <c r="AO296" s="23">
        <v>15</v>
      </c>
      <c r="AP296" s="24">
        <v>10</v>
      </c>
      <c r="AQ296" s="23">
        <v>15</v>
      </c>
      <c r="AR296" s="24">
        <v>0</v>
      </c>
      <c r="AS296" s="20">
        <v>12</v>
      </c>
      <c r="AT296" s="19">
        <v>87</v>
      </c>
      <c r="AU296" s="23">
        <v>54</v>
      </c>
      <c r="AV296" s="24">
        <v>0</v>
      </c>
      <c r="AW296" s="23">
        <v>12</v>
      </c>
      <c r="AX296" s="24">
        <v>0</v>
      </c>
      <c r="AY296" s="23">
        <v>12</v>
      </c>
      <c r="AZ296" s="24">
        <v>0</v>
      </c>
      <c r="BA296" s="23">
        <v>12</v>
      </c>
      <c r="BB296" s="24">
        <v>43</v>
      </c>
      <c r="BC296" s="23">
        <v>42</v>
      </c>
      <c r="BD296" s="24">
        <v>31</v>
      </c>
      <c r="BE296" s="23">
        <v>47</v>
      </c>
      <c r="BF296" s="24">
        <v>12</v>
      </c>
      <c r="BG296" s="23">
        <v>17</v>
      </c>
      <c r="BH296" s="24">
        <v>44</v>
      </c>
      <c r="BI296" s="23">
        <v>34</v>
      </c>
      <c r="BJ296" s="24">
        <v>44</v>
      </c>
      <c r="BK296" s="23">
        <v>34</v>
      </c>
      <c r="BL296" s="24">
        <v>0</v>
      </c>
      <c r="BM296" s="20">
        <v>12</v>
      </c>
      <c r="BN296" s="19">
        <v>73</v>
      </c>
      <c r="BO296" s="23">
        <v>64</v>
      </c>
      <c r="BP296" s="24">
        <v>0</v>
      </c>
      <c r="BQ296" s="23">
        <v>12</v>
      </c>
      <c r="BR296" s="24">
        <v>0</v>
      </c>
      <c r="BS296" s="23">
        <v>12</v>
      </c>
      <c r="BT296" s="26">
        <v>0</v>
      </c>
      <c r="BU296" s="23">
        <v>12</v>
      </c>
      <c r="BV296" s="24">
        <v>20</v>
      </c>
      <c r="BW296" s="23">
        <v>29</v>
      </c>
      <c r="BX296" s="24">
        <v>20</v>
      </c>
      <c r="BY296" s="23">
        <v>29</v>
      </c>
      <c r="BZ296" s="24">
        <v>0</v>
      </c>
      <c r="CA296" s="23">
        <v>12</v>
      </c>
      <c r="CB296" s="24">
        <v>53</v>
      </c>
      <c r="CC296" s="23">
        <v>57</v>
      </c>
      <c r="CD296" s="24">
        <v>53</v>
      </c>
      <c r="CE296" s="23">
        <v>57</v>
      </c>
      <c r="CF296" s="24">
        <v>0</v>
      </c>
      <c r="CG296" s="20">
        <v>12</v>
      </c>
    </row>
    <row r="297" spans="1:85" x14ac:dyDescent="0.3">
      <c r="A297" t="s">
        <v>593</v>
      </c>
      <c r="B297">
        <v>21545</v>
      </c>
      <c r="C297" t="s">
        <v>594</v>
      </c>
      <c r="D297" s="19">
        <v>1918</v>
      </c>
      <c r="E297" s="20">
        <v>185</v>
      </c>
      <c r="F297" s="19">
        <v>318</v>
      </c>
      <c r="G297" s="23">
        <v>174</v>
      </c>
      <c r="H297" s="24">
        <v>70</v>
      </c>
      <c r="I297" s="23">
        <v>74</v>
      </c>
      <c r="J297" s="24">
        <v>63</v>
      </c>
      <c r="K297" s="23">
        <v>72</v>
      </c>
      <c r="L297" s="24">
        <v>7</v>
      </c>
      <c r="M297" s="23">
        <v>22</v>
      </c>
      <c r="N297" s="24">
        <v>188</v>
      </c>
      <c r="O297" s="23">
        <v>118</v>
      </c>
      <c r="P297" s="24">
        <v>160</v>
      </c>
      <c r="Q297" s="23">
        <v>97</v>
      </c>
      <c r="R297" s="24">
        <v>28</v>
      </c>
      <c r="S297" s="23">
        <v>45</v>
      </c>
      <c r="T297" s="24">
        <v>60</v>
      </c>
      <c r="U297" s="23">
        <v>49</v>
      </c>
      <c r="V297" s="24">
        <v>60</v>
      </c>
      <c r="W297" s="23">
        <v>49</v>
      </c>
      <c r="X297" s="24">
        <v>0</v>
      </c>
      <c r="Y297" s="20">
        <v>24</v>
      </c>
      <c r="Z297" s="19">
        <v>283</v>
      </c>
      <c r="AA297" s="23">
        <v>156</v>
      </c>
      <c r="AB297" s="24">
        <v>101</v>
      </c>
      <c r="AC297" s="23">
        <v>88</v>
      </c>
      <c r="AD297" s="24">
        <v>50</v>
      </c>
      <c r="AE297" s="23">
        <v>42</v>
      </c>
      <c r="AF297" s="24">
        <v>51</v>
      </c>
      <c r="AG297" s="23">
        <v>78</v>
      </c>
      <c r="AH297" s="24">
        <v>139</v>
      </c>
      <c r="AI297" s="23">
        <v>77</v>
      </c>
      <c r="AJ297" s="24">
        <v>107</v>
      </c>
      <c r="AK297" s="23">
        <v>60</v>
      </c>
      <c r="AL297" s="24">
        <v>32</v>
      </c>
      <c r="AM297" s="23">
        <v>39</v>
      </c>
      <c r="AN297" s="24">
        <v>43</v>
      </c>
      <c r="AO297" s="23">
        <v>22</v>
      </c>
      <c r="AP297" s="24">
        <v>43</v>
      </c>
      <c r="AQ297" s="23">
        <v>22</v>
      </c>
      <c r="AR297" s="24">
        <v>0</v>
      </c>
      <c r="AS297" s="20">
        <v>12</v>
      </c>
      <c r="AT297" s="19">
        <v>904</v>
      </c>
      <c r="AU297" s="23">
        <v>191</v>
      </c>
      <c r="AV297" s="24">
        <v>189</v>
      </c>
      <c r="AW297" s="23">
        <v>76</v>
      </c>
      <c r="AX297" s="24">
        <v>189</v>
      </c>
      <c r="AY297" s="23">
        <v>76</v>
      </c>
      <c r="AZ297" s="24">
        <v>0</v>
      </c>
      <c r="BA297" s="23">
        <v>12</v>
      </c>
      <c r="BB297" s="24">
        <v>544</v>
      </c>
      <c r="BC297" s="23">
        <v>127</v>
      </c>
      <c r="BD297" s="24">
        <v>529</v>
      </c>
      <c r="BE297" s="23">
        <v>126</v>
      </c>
      <c r="BF297" s="24">
        <v>15</v>
      </c>
      <c r="BG297" s="23">
        <v>13</v>
      </c>
      <c r="BH297" s="24">
        <v>171</v>
      </c>
      <c r="BI297" s="23">
        <v>43</v>
      </c>
      <c r="BJ297" s="24">
        <v>171</v>
      </c>
      <c r="BK297" s="23">
        <v>43</v>
      </c>
      <c r="BL297" s="24">
        <v>0</v>
      </c>
      <c r="BM297" s="20">
        <v>12</v>
      </c>
      <c r="BN297" s="19">
        <v>413</v>
      </c>
      <c r="BO297" s="23">
        <v>113</v>
      </c>
      <c r="BP297" s="24">
        <v>18</v>
      </c>
      <c r="BQ297" s="23">
        <v>19</v>
      </c>
      <c r="BR297" s="24">
        <v>18</v>
      </c>
      <c r="BS297" s="23">
        <v>19</v>
      </c>
      <c r="BT297" s="26">
        <v>0</v>
      </c>
      <c r="BU297" s="23">
        <v>12</v>
      </c>
      <c r="BV297" s="24">
        <v>341</v>
      </c>
      <c r="BW297" s="23">
        <v>100</v>
      </c>
      <c r="BX297" s="24">
        <v>272</v>
      </c>
      <c r="BY297" s="23">
        <v>84</v>
      </c>
      <c r="BZ297" s="24">
        <v>69</v>
      </c>
      <c r="CA297" s="23">
        <v>44</v>
      </c>
      <c r="CB297" s="24">
        <v>54</v>
      </c>
      <c r="CC297" s="23">
        <v>38</v>
      </c>
      <c r="CD297" s="24">
        <v>54</v>
      </c>
      <c r="CE297" s="23">
        <v>38</v>
      </c>
      <c r="CF297" s="24">
        <v>0</v>
      </c>
      <c r="CG297" s="20">
        <v>12</v>
      </c>
    </row>
    <row r="298" spans="1:85" x14ac:dyDescent="0.3">
      <c r="A298" t="s">
        <v>595</v>
      </c>
      <c r="B298">
        <v>21550</v>
      </c>
      <c r="C298" t="s">
        <v>596</v>
      </c>
      <c r="D298" s="19">
        <v>14227</v>
      </c>
      <c r="E298" s="20">
        <v>541</v>
      </c>
      <c r="F298" s="19">
        <v>2970</v>
      </c>
      <c r="G298" s="23">
        <v>732</v>
      </c>
      <c r="H298" s="24">
        <v>698</v>
      </c>
      <c r="I298" s="23">
        <v>322</v>
      </c>
      <c r="J298" s="24">
        <v>673</v>
      </c>
      <c r="K298" s="23">
        <v>319</v>
      </c>
      <c r="L298" s="24">
        <v>25</v>
      </c>
      <c r="M298" s="23">
        <v>38</v>
      </c>
      <c r="N298" s="24">
        <v>1816</v>
      </c>
      <c r="O298" s="23">
        <v>436</v>
      </c>
      <c r="P298" s="24">
        <v>1561</v>
      </c>
      <c r="Q298" s="23">
        <v>391</v>
      </c>
      <c r="R298" s="24">
        <v>255</v>
      </c>
      <c r="S298" s="23">
        <v>146</v>
      </c>
      <c r="T298" s="24">
        <v>456</v>
      </c>
      <c r="U298" s="23">
        <v>190</v>
      </c>
      <c r="V298" s="24">
        <v>455</v>
      </c>
      <c r="W298" s="23">
        <v>190</v>
      </c>
      <c r="X298" s="24">
        <v>1</v>
      </c>
      <c r="Y298" s="20">
        <v>22</v>
      </c>
      <c r="Z298" s="19">
        <v>2276</v>
      </c>
      <c r="AA298" s="23">
        <v>631</v>
      </c>
      <c r="AB298" s="24">
        <v>465</v>
      </c>
      <c r="AC298" s="23">
        <v>196</v>
      </c>
      <c r="AD298" s="24">
        <v>419</v>
      </c>
      <c r="AE298" s="23">
        <v>195</v>
      </c>
      <c r="AF298" s="24">
        <v>46</v>
      </c>
      <c r="AG298" s="23">
        <v>48</v>
      </c>
      <c r="AH298" s="24">
        <v>1362</v>
      </c>
      <c r="AI298" s="23">
        <v>375</v>
      </c>
      <c r="AJ298" s="24">
        <v>1126</v>
      </c>
      <c r="AK298" s="23">
        <v>332</v>
      </c>
      <c r="AL298" s="24">
        <v>236</v>
      </c>
      <c r="AM298" s="23">
        <v>103</v>
      </c>
      <c r="AN298" s="24">
        <v>449</v>
      </c>
      <c r="AO298" s="23">
        <v>141</v>
      </c>
      <c r="AP298" s="24">
        <v>449</v>
      </c>
      <c r="AQ298" s="23">
        <v>141</v>
      </c>
      <c r="AR298" s="24">
        <v>0</v>
      </c>
      <c r="AS298" s="20">
        <v>19</v>
      </c>
      <c r="AT298" s="19">
        <v>4872</v>
      </c>
      <c r="AU298" s="23">
        <v>593</v>
      </c>
      <c r="AV298" s="24">
        <v>933</v>
      </c>
      <c r="AW298" s="23">
        <v>246</v>
      </c>
      <c r="AX298" s="24">
        <v>865</v>
      </c>
      <c r="AY298" s="23">
        <v>258</v>
      </c>
      <c r="AZ298" s="24">
        <v>68</v>
      </c>
      <c r="BA298" s="23">
        <v>74</v>
      </c>
      <c r="BB298" s="24">
        <v>2814</v>
      </c>
      <c r="BC298" s="23">
        <v>388</v>
      </c>
      <c r="BD298" s="24">
        <v>2495</v>
      </c>
      <c r="BE298" s="23">
        <v>379</v>
      </c>
      <c r="BF298" s="24">
        <v>319</v>
      </c>
      <c r="BG298" s="23">
        <v>126</v>
      </c>
      <c r="BH298" s="24">
        <v>1125</v>
      </c>
      <c r="BI298" s="23">
        <v>194</v>
      </c>
      <c r="BJ298" s="24">
        <v>1125</v>
      </c>
      <c r="BK298" s="23">
        <v>194</v>
      </c>
      <c r="BL298" s="24">
        <v>0</v>
      </c>
      <c r="BM298" s="20">
        <v>19</v>
      </c>
      <c r="BN298" s="19">
        <v>4109</v>
      </c>
      <c r="BO298" s="23">
        <v>609</v>
      </c>
      <c r="BP298" s="24">
        <v>698</v>
      </c>
      <c r="BQ298" s="23">
        <v>239</v>
      </c>
      <c r="BR298" s="24">
        <v>685</v>
      </c>
      <c r="BS298" s="23">
        <v>240</v>
      </c>
      <c r="BT298" s="26">
        <v>13</v>
      </c>
      <c r="BU298" s="23">
        <v>22</v>
      </c>
      <c r="BV298" s="24">
        <v>2464</v>
      </c>
      <c r="BW298" s="23">
        <v>384</v>
      </c>
      <c r="BX298" s="24">
        <v>2254</v>
      </c>
      <c r="BY298" s="23">
        <v>354</v>
      </c>
      <c r="BZ298" s="24">
        <v>210</v>
      </c>
      <c r="CA298" s="23">
        <v>120</v>
      </c>
      <c r="CB298" s="24">
        <v>947</v>
      </c>
      <c r="CC298" s="23">
        <v>195</v>
      </c>
      <c r="CD298" s="24">
        <v>947</v>
      </c>
      <c r="CE298" s="23">
        <v>195</v>
      </c>
      <c r="CF298" s="24">
        <v>0</v>
      </c>
      <c r="CG298" s="20">
        <v>19</v>
      </c>
    </row>
    <row r="299" spans="1:85" x14ac:dyDescent="0.3">
      <c r="A299" t="s">
        <v>597</v>
      </c>
      <c r="B299">
        <v>21555</v>
      </c>
      <c r="C299" t="s">
        <v>598</v>
      </c>
      <c r="D299" s="19">
        <v>1755</v>
      </c>
      <c r="E299" s="20">
        <v>320</v>
      </c>
      <c r="F299" s="19">
        <v>285</v>
      </c>
      <c r="G299" s="23">
        <v>197</v>
      </c>
      <c r="H299" s="24">
        <v>27</v>
      </c>
      <c r="I299" s="23">
        <v>44</v>
      </c>
      <c r="J299" s="24">
        <v>27</v>
      </c>
      <c r="K299" s="23">
        <v>44</v>
      </c>
      <c r="L299" s="24">
        <v>0</v>
      </c>
      <c r="M299" s="23">
        <v>24</v>
      </c>
      <c r="N299" s="24">
        <v>190</v>
      </c>
      <c r="O299" s="23">
        <v>144</v>
      </c>
      <c r="P299" s="24">
        <v>125</v>
      </c>
      <c r="Q299" s="23">
        <v>95</v>
      </c>
      <c r="R299" s="24">
        <v>65</v>
      </c>
      <c r="S299" s="23">
        <v>76</v>
      </c>
      <c r="T299" s="24">
        <v>68</v>
      </c>
      <c r="U299" s="23">
        <v>44</v>
      </c>
      <c r="V299" s="24">
        <v>68</v>
      </c>
      <c r="W299" s="23">
        <v>44</v>
      </c>
      <c r="X299" s="24">
        <v>0</v>
      </c>
      <c r="Y299" s="20">
        <v>24</v>
      </c>
      <c r="Z299" s="19">
        <v>124</v>
      </c>
      <c r="AA299" s="23">
        <v>101</v>
      </c>
      <c r="AB299" s="24">
        <v>27</v>
      </c>
      <c r="AC299" s="23">
        <v>31</v>
      </c>
      <c r="AD299" s="24">
        <v>23</v>
      </c>
      <c r="AE299" s="23">
        <v>30</v>
      </c>
      <c r="AF299" s="24">
        <v>4</v>
      </c>
      <c r="AG299" s="23">
        <v>8</v>
      </c>
      <c r="AH299" s="24">
        <v>82</v>
      </c>
      <c r="AI299" s="23">
        <v>72</v>
      </c>
      <c r="AJ299" s="24">
        <v>60</v>
      </c>
      <c r="AK299" s="23">
        <v>64</v>
      </c>
      <c r="AL299" s="24">
        <v>22</v>
      </c>
      <c r="AM299" s="23">
        <v>32</v>
      </c>
      <c r="AN299" s="24">
        <v>15</v>
      </c>
      <c r="AO299" s="23">
        <v>20</v>
      </c>
      <c r="AP299" s="24">
        <v>15</v>
      </c>
      <c r="AQ299" s="23">
        <v>20</v>
      </c>
      <c r="AR299" s="24">
        <v>0</v>
      </c>
      <c r="AS299" s="20">
        <v>12</v>
      </c>
      <c r="AT299" s="19">
        <v>764</v>
      </c>
      <c r="AU299" s="23">
        <v>241</v>
      </c>
      <c r="AV299" s="24">
        <v>128</v>
      </c>
      <c r="AW299" s="23">
        <v>81</v>
      </c>
      <c r="AX299" s="24">
        <v>128</v>
      </c>
      <c r="AY299" s="23">
        <v>81</v>
      </c>
      <c r="AZ299" s="24">
        <v>0</v>
      </c>
      <c r="BA299" s="23">
        <v>12</v>
      </c>
      <c r="BB299" s="24">
        <v>465</v>
      </c>
      <c r="BC299" s="23">
        <v>191</v>
      </c>
      <c r="BD299" s="24">
        <v>430</v>
      </c>
      <c r="BE299" s="23">
        <v>179</v>
      </c>
      <c r="BF299" s="24">
        <v>35</v>
      </c>
      <c r="BG299" s="23">
        <v>32</v>
      </c>
      <c r="BH299" s="24">
        <v>171</v>
      </c>
      <c r="BI299" s="23">
        <v>75</v>
      </c>
      <c r="BJ299" s="24">
        <v>171</v>
      </c>
      <c r="BK299" s="23">
        <v>75</v>
      </c>
      <c r="BL299" s="24">
        <v>0</v>
      </c>
      <c r="BM299" s="20">
        <v>12</v>
      </c>
      <c r="BN299" s="19">
        <v>582</v>
      </c>
      <c r="BO299" s="23">
        <v>244</v>
      </c>
      <c r="BP299" s="24">
        <v>60</v>
      </c>
      <c r="BQ299" s="23">
        <v>47</v>
      </c>
      <c r="BR299" s="24">
        <v>60</v>
      </c>
      <c r="BS299" s="23">
        <v>47</v>
      </c>
      <c r="BT299" s="26">
        <v>0</v>
      </c>
      <c r="BU299" s="23">
        <v>12</v>
      </c>
      <c r="BV299" s="24">
        <v>440</v>
      </c>
      <c r="BW299" s="23">
        <v>202</v>
      </c>
      <c r="BX299" s="24">
        <v>440</v>
      </c>
      <c r="BY299" s="23">
        <v>202</v>
      </c>
      <c r="BZ299" s="24">
        <v>0</v>
      </c>
      <c r="CA299" s="23">
        <v>12</v>
      </c>
      <c r="CB299" s="24">
        <v>82</v>
      </c>
      <c r="CC299" s="23">
        <v>61</v>
      </c>
      <c r="CD299" s="24">
        <v>82</v>
      </c>
      <c r="CE299" s="23">
        <v>61</v>
      </c>
      <c r="CF299" s="24">
        <v>0</v>
      </c>
      <c r="CG299" s="20">
        <v>12</v>
      </c>
    </row>
    <row r="300" spans="1:85" x14ac:dyDescent="0.3">
      <c r="A300" t="s">
        <v>599</v>
      </c>
      <c r="B300">
        <v>21557</v>
      </c>
      <c r="C300" t="s">
        <v>600</v>
      </c>
      <c r="D300" s="19">
        <v>1672</v>
      </c>
      <c r="E300" s="20">
        <v>321</v>
      </c>
      <c r="F300" s="19">
        <v>331</v>
      </c>
      <c r="G300" s="23">
        <v>221</v>
      </c>
      <c r="H300" s="24">
        <v>47</v>
      </c>
      <c r="I300" s="23">
        <v>93</v>
      </c>
      <c r="J300" s="24">
        <v>47</v>
      </c>
      <c r="K300" s="23">
        <v>93</v>
      </c>
      <c r="L300" s="24">
        <v>0</v>
      </c>
      <c r="M300" s="23">
        <v>24</v>
      </c>
      <c r="N300" s="24">
        <v>208</v>
      </c>
      <c r="O300" s="23">
        <v>166</v>
      </c>
      <c r="P300" s="24">
        <v>208</v>
      </c>
      <c r="Q300" s="23">
        <v>166</v>
      </c>
      <c r="R300" s="24">
        <v>0</v>
      </c>
      <c r="S300" s="23">
        <v>24</v>
      </c>
      <c r="T300" s="24">
        <v>76</v>
      </c>
      <c r="U300" s="23">
        <v>58</v>
      </c>
      <c r="V300" s="24">
        <v>76</v>
      </c>
      <c r="W300" s="23">
        <v>58</v>
      </c>
      <c r="X300" s="24">
        <v>0</v>
      </c>
      <c r="Y300" s="20">
        <v>24</v>
      </c>
      <c r="Z300" s="19">
        <v>158</v>
      </c>
      <c r="AA300" s="23">
        <v>108</v>
      </c>
      <c r="AB300" s="24">
        <v>0</v>
      </c>
      <c r="AC300" s="23">
        <v>12</v>
      </c>
      <c r="AD300" s="24">
        <v>0</v>
      </c>
      <c r="AE300" s="23">
        <v>12</v>
      </c>
      <c r="AF300" s="24">
        <v>0</v>
      </c>
      <c r="AG300" s="23">
        <v>12</v>
      </c>
      <c r="AH300" s="24">
        <v>0</v>
      </c>
      <c r="AI300" s="23">
        <v>12</v>
      </c>
      <c r="AJ300" s="24">
        <v>0</v>
      </c>
      <c r="AK300" s="23">
        <v>12</v>
      </c>
      <c r="AL300" s="24">
        <v>0</v>
      </c>
      <c r="AM300" s="23">
        <v>12</v>
      </c>
      <c r="AN300" s="24">
        <v>158</v>
      </c>
      <c r="AO300" s="23">
        <v>108</v>
      </c>
      <c r="AP300" s="24">
        <v>158</v>
      </c>
      <c r="AQ300" s="23">
        <v>108</v>
      </c>
      <c r="AR300" s="24">
        <v>0</v>
      </c>
      <c r="AS300" s="20">
        <v>12</v>
      </c>
      <c r="AT300" s="19">
        <v>700</v>
      </c>
      <c r="AU300" s="23">
        <v>275</v>
      </c>
      <c r="AV300" s="24">
        <v>130</v>
      </c>
      <c r="AW300" s="23">
        <v>87</v>
      </c>
      <c r="AX300" s="24">
        <v>130</v>
      </c>
      <c r="AY300" s="23">
        <v>87</v>
      </c>
      <c r="AZ300" s="24">
        <v>0</v>
      </c>
      <c r="BA300" s="23">
        <v>12</v>
      </c>
      <c r="BB300" s="24">
        <v>335</v>
      </c>
      <c r="BC300" s="23">
        <v>174</v>
      </c>
      <c r="BD300" s="24">
        <v>270</v>
      </c>
      <c r="BE300" s="23">
        <v>143</v>
      </c>
      <c r="BF300" s="24">
        <v>65</v>
      </c>
      <c r="BG300" s="23">
        <v>67</v>
      </c>
      <c r="BH300" s="24">
        <v>235</v>
      </c>
      <c r="BI300" s="23">
        <v>106</v>
      </c>
      <c r="BJ300" s="24">
        <v>235</v>
      </c>
      <c r="BK300" s="23">
        <v>106</v>
      </c>
      <c r="BL300" s="24">
        <v>0</v>
      </c>
      <c r="BM300" s="20">
        <v>12</v>
      </c>
      <c r="BN300" s="19">
        <v>483</v>
      </c>
      <c r="BO300" s="23">
        <v>185</v>
      </c>
      <c r="BP300" s="24">
        <v>34</v>
      </c>
      <c r="BQ300" s="23">
        <v>52</v>
      </c>
      <c r="BR300" s="24">
        <v>34</v>
      </c>
      <c r="BS300" s="23">
        <v>52</v>
      </c>
      <c r="BT300" s="26">
        <v>0</v>
      </c>
      <c r="BU300" s="23">
        <v>12</v>
      </c>
      <c r="BV300" s="24">
        <v>376</v>
      </c>
      <c r="BW300" s="23">
        <v>174</v>
      </c>
      <c r="BX300" s="24">
        <v>376</v>
      </c>
      <c r="BY300" s="23">
        <v>174</v>
      </c>
      <c r="BZ300" s="24">
        <v>0</v>
      </c>
      <c r="CA300" s="23">
        <v>12</v>
      </c>
      <c r="CB300" s="24">
        <v>73</v>
      </c>
      <c r="CC300" s="23">
        <v>63</v>
      </c>
      <c r="CD300" s="24">
        <v>73</v>
      </c>
      <c r="CE300" s="23">
        <v>63</v>
      </c>
      <c r="CF300" s="24">
        <v>0</v>
      </c>
      <c r="CG300" s="20">
        <v>12</v>
      </c>
    </row>
    <row r="301" spans="1:85" x14ac:dyDescent="0.3">
      <c r="A301" t="s">
        <v>601</v>
      </c>
      <c r="B301">
        <v>21561</v>
      </c>
      <c r="C301" t="s">
        <v>602</v>
      </c>
      <c r="D301" s="19">
        <v>2430</v>
      </c>
      <c r="E301" s="20">
        <v>285</v>
      </c>
      <c r="F301" s="19">
        <v>405</v>
      </c>
      <c r="G301" s="23">
        <v>222</v>
      </c>
      <c r="H301" s="24">
        <v>139</v>
      </c>
      <c r="I301" s="23">
        <v>114</v>
      </c>
      <c r="J301" s="24">
        <v>139</v>
      </c>
      <c r="K301" s="23">
        <v>114</v>
      </c>
      <c r="L301" s="24">
        <v>0</v>
      </c>
      <c r="M301" s="23">
        <v>24</v>
      </c>
      <c r="N301" s="24">
        <v>207</v>
      </c>
      <c r="O301" s="23">
        <v>125</v>
      </c>
      <c r="P301" s="24">
        <v>143</v>
      </c>
      <c r="Q301" s="23">
        <v>96</v>
      </c>
      <c r="R301" s="24">
        <v>64</v>
      </c>
      <c r="S301" s="23">
        <v>64</v>
      </c>
      <c r="T301" s="24">
        <v>59</v>
      </c>
      <c r="U301" s="23">
        <v>70</v>
      </c>
      <c r="V301" s="24">
        <v>59</v>
      </c>
      <c r="W301" s="23">
        <v>70</v>
      </c>
      <c r="X301" s="24">
        <v>0</v>
      </c>
      <c r="Y301" s="20">
        <v>24</v>
      </c>
      <c r="Z301" s="19">
        <v>284</v>
      </c>
      <c r="AA301" s="23">
        <v>125</v>
      </c>
      <c r="AB301" s="24">
        <v>40</v>
      </c>
      <c r="AC301" s="23">
        <v>35</v>
      </c>
      <c r="AD301" s="24">
        <v>37</v>
      </c>
      <c r="AE301" s="23">
        <v>35</v>
      </c>
      <c r="AF301" s="24">
        <v>3</v>
      </c>
      <c r="AG301" s="23">
        <v>8</v>
      </c>
      <c r="AH301" s="24">
        <v>196</v>
      </c>
      <c r="AI301" s="23">
        <v>97</v>
      </c>
      <c r="AJ301" s="24">
        <v>167</v>
      </c>
      <c r="AK301" s="23">
        <v>94</v>
      </c>
      <c r="AL301" s="24">
        <v>29</v>
      </c>
      <c r="AM301" s="23">
        <v>35</v>
      </c>
      <c r="AN301" s="24">
        <v>48</v>
      </c>
      <c r="AO301" s="23">
        <v>39</v>
      </c>
      <c r="AP301" s="24">
        <v>48</v>
      </c>
      <c r="AQ301" s="23">
        <v>39</v>
      </c>
      <c r="AR301" s="24">
        <v>0</v>
      </c>
      <c r="AS301" s="20">
        <v>12</v>
      </c>
      <c r="AT301" s="19">
        <v>1067</v>
      </c>
      <c r="AU301" s="23">
        <v>236</v>
      </c>
      <c r="AV301" s="24">
        <v>215</v>
      </c>
      <c r="AW301" s="23">
        <v>89</v>
      </c>
      <c r="AX301" s="24">
        <v>215</v>
      </c>
      <c r="AY301" s="23">
        <v>89</v>
      </c>
      <c r="AZ301" s="24">
        <v>0</v>
      </c>
      <c r="BA301" s="23">
        <v>12</v>
      </c>
      <c r="BB301" s="24">
        <v>638</v>
      </c>
      <c r="BC301" s="23">
        <v>158</v>
      </c>
      <c r="BD301" s="24">
        <v>576</v>
      </c>
      <c r="BE301" s="23">
        <v>155</v>
      </c>
      <c r="BF301" s="24">
        <v>62</v>
      </c>
      <c r="BG301" s="23">
        <v>48</v>
      </c>
      <c r="BH301" s="24">
        <v>214</v>
      </c>
      <c r="BI301" s="23">
        <v>85</v>
      </c>
      <c r="BJ301" s="24">
        <v>214</v>
      </c>
      <c r="BK301" s="23">
        <v>85</v>
      </c>
      <c r="BL301" s="24">
        <v>0</v>
      </c>
      <c r="BM301" s="20">
        <v>12</v>
      </c>
      <c r="BN301" s="19">
        <v>674</v>
      </c>
      <c r="BO301" s="23">
        <v>173</v>
      </c>
      <c r="BP301" s="24">
        <v>61</v>
      </c>
      <c r="BQ301" s="23">
        <v>55</v>
      </c>
      <c r="BR301" s="24">
        <v>61</v>
      </c>
      <c r="BS301" s="23">
        <v>55</v>
      </c>
      <c r="BT301" s="26">
        <v>0</v>
      </c>
      <c r="BU301" s="23">
        <v>12</v>
      </c>
      <c r="BV301" s="24">
        <v>358</v>
      </c>
      <c r="BW301" s="23">
        <v>117</v>
      </c>
      <c r="BX301" s="24">
        <v>350</v>
      </c>
      <c r="BY301" s="23">
        <v>116</v>
      </c>
      <c r="BZ301" s="24">
        <v>8</v>
      </c>
      <c r="CA301" s="23">
        <v>12</v>
      </c>
      <c r="CB301" s="24">
        <v>255</v>
      </c>
      <c r="CC301" s="23">
        <v>92</v>
      </c>
      <c r="CD301" s="24">
        <v>255</v>
      </c>
      <c r="CE301" s="23">
        <v>92</v>
      </c>
      <c r="CF301" s="24">
        <v>0</v>
      </c>
      <c r="CG301" s="20">
        <v>12</v>
      </c>
    </row>
    <row r="302" spans="1:85" x14ac:dyDescent="0.3">
      <c r="A302" t="s">
        <v>603</v>
      </c>
      <c r="B302">
        <v>21562</v>
      </c>
      <c r="C302" t="s">
        <v>604</v>
      </c>
      <c r="D302" s="19">
        <v>3129</v>
      </c>
      <c r="E302" s="20">
        <v>304</v>
      </c>
      <c r="F302" s="19">
        <v>848</v>
      </c>
      <c r="G302" s="23">
        <v>498</v>
      </c>
      <c r="H302" s="24">
        <v>316</v>
      </c>
      <c r="I302" s="23">
        <v>278</v>
      </c>
      <c r="J302" s="24">
        <v>316</v>
      </c>
      <c r="K302" s="23">
        <v>278</v>
      </c>
      <c r="L302" s="24">
        <v>0</v>
      </c>
      <c r="M302" s="23">
        <v>24</v>
      </c>
      <c r="N302" s="24">
        <v>361</v>
      </c>
      <c r="O302" s="23">
        <v>217</v>
      </c>
      <c r="P302" s="24">
        <v>333</v>
      </c>
      <c r="Q302" s="23">
        <v>206</v>
      </c>
      <c r="R302" s="24">
        <v>28</v>
      </c>
      <c r="S302" s="23">
        <v>34</v>
      </c>
      <c r="T302" s="24">
        <v>171</v>
      </c>
      <c r="U302" s="23">
        <v>84</v>
      </c>
      <c r="V302" s="24">
        <v>171</v>
      </c>
      <c r="W302" s="23">
        <v>84</v>
      </c>
      <c r="X302" s="24">
        <v>0</v>
      </c>
      <c r="Y302" s="20">
        <v>24</v>
      </c>
      <c r="Z302" s="19">
        <v>428</v>
      </c>
      <c r="AA302" s="23">
        <v>199</v>
      </c>
      <c r="AB302" s="24">
        <v>123</v>
      </c>
      <c r="AC302" s="23">
        <v>78</v>
      </c>
      <c r="AD302" s="24">
        <v>123</v>
      </c>
      <c r="AE302" s="23">
        <v>78</v>
      </c>
      <c r="AF302" s="24">
        <v>0</v>
      </c>
      <c r="AG302" s="23">
        <v>12</v>
      </c>
      <c r="AH302" s="24">
        <v>212</v>
      </c>
      <c r="AI302" s="23">
        <v>124</v>
      </c>
      <c r="AJ302" s="24">
        <v>196</v>
      </c>
      <c r="AK302" s="23">
        <v>120</v>
      </c>
      <c r="AL302" s="24">
        <v>16</v>
      </c>
      <c r="AM302" s="23">
        <v>21</v>
      </c>
      <c r="AN302" s="24">
        <v>93</v>
      </c>
      <c r="AO302" s="23">
        <v>41</v>
      </c>
      <c r="AP302" s="24">
        <v>93</v>
      </c>
      <c r="AQ302" s="23">
        <v>41</v>
      </c>
      <c r="AR302" s="24">
        <v>0</v>
      </c>
      <c r="AS302" s="20">
        <v>12</v>
      </c>
      <c r="AT302" s="19">
        <v>1258</v>
      </c>
      <c r="AU302" s="23">
        <v>368</v>
      </c>
      <c r="AV302" s="24">
        <v>367</v>
      </c>
      <c r="AW302" s="23">
        <v>149</v>
      </c>
      <c r="AX302" s="24">
        <v>367</v>
      </c>
      <c r="AY302" s="23">
        <v>149</v>
      </c>
      <c r="AZ302" s="24">
        <v>0</v>
      </c>
      <c r="BA302" s="23">
        <v>12</v>
      </c>
      <c r="BB302" s="24">
        <v>715</v>
      </c>
      <c r="BC302" s="23">
        <v>229</v>
      </c>
      <c r="BD302" s="24">
        <v>655</v>
      </c>
      <c r="BE302" s="23">
        <v>210</v>
      </c>
      <c r="BF302" s="24">
        <v>60</v>
      </c>
      <c r="BG302" s="23">
        <v>51</v>
      </c>
      <c r="BH302" s="24">
        <v>176</v>
      </c>
      <c r="BI302" s="23">
        <v>64</v>
      </c>
      <c r="BJ302" s="24">
        <v>176</v>
      </c>
      <c r="BK302" s="23">
        <v>64</v>
      </c>
      <c r="BL302" s="24">
        <v>0</v>
      </c>
      <c r="BM302" s="20">
        <v>12</v>
      </c>
      <c r="BN302" s="19">
        <v>595</v>
      </c>
      <c r="BO302" s="23">
        <v>159</v>
      </c>
      <c r="BP302" s="24">
        <v>31</v>
      </c>
      <c r="BQ302" s="23">
        <v>28</v>
      </c>
      <c r="BR302" s="24">
        <v>31</v>
      </c>
      <c r="BS302" s="23">
        <v>28</v>
      </c>
      <c r="BT302" s="26">
        <v>0</v>
      </c>
      <c r="BU302" s="23">
        <v>12</v>
      </c>
      <c r="BV302" s="24">
        <v>446</v>
      </c>
      <c r="BW302" s="23">
        <v>131</v>
      </c>
      <c r="BX302" s="24">
        <v>410</v>
      </c>
      <c r="BY302" s="23">
        <v>115</v>
      </c>
      <c r="BZ302" s="24">
        <v>36</v>
      </c>
      <c r="CA302" s="23">
        <v>61</v>
      </c>
      <c r="CB302" s="24">
        <v>118</v>
      </c>
      <c r="CC302" s="23">
        <v>47</v>
      </c>
      <c r="CD302" s="24">
        <v>118</v>
      </c>
      <c r="CE302" s="23">
        <v>47</v>
      </c>
      <c r="CF302" s="24">
        <v>0</v>
      </c>
      <c r="CG302" s="20">
        <v>12</v>
      </c>
    </row>
    <row r="303" spans="1:85" x14ac:dyDescent="0.3">
      <c r="A303" t="s">
        <v>605</v>
      </c>
      <c r="B303">
        <v>21601</v>
      </c>
      <c r="C303" t="s">
        <v>606</v>
      </c>
      <c r="D303" s="19">
        <v>23571</v>
      </c>
      <c r="E303" s="20">
        <v>510</v>
      </c>
      <c r="F303" s="19">
        <v>4213</v>
      </c>
      <c r="G303" s="23">
        <v>957</v>
      </c>
      <c r="H303" s="24">
        <v>1293</v>
      </c>
      <c r="I303" s="23">
        <v>468</v>
      </c>
      <c r="J303" s="24">
        <v>1293</v>
      </c>
      <c r="K303" s="23">
        <v>468</v>
      </c>
      <c r="L303" s="24">
        <v>0</v>
      </c>
      <c r="M303" s="23">
        <v>44</v>
      </c>
      <c r="N303" s="24">
        <v>2199</v>
      </c>
      <c r="O303" s="23">
        <v>608</v>
      </c>
      <c r="P303" s="24">
        <v>1747</v>
      </c>
      <c r="Q303" s="23">
        <v>554</v>
      </c>
      <c r="R303" s="24">
        <v>452</v>
      </c>
      <c r="S303" s="23">
        <v>284</v>
      </c>
      <c r="T303" s="24">
        <v>721</v>
      </c>
      <c r="U303" s="23">
        <v>275</v>
      </c>
      <c r="V303" s="24">
        <v>687</v>
      </c>
      <c r="W303" s="23">
        <v>261</v>
      </c>
      <c r="X303" s="24">
        <v>34</v>
      </c>
      <c r="Y303" s="20">
        <v>78</v>
      </c>
      <c r="Z303" s="19">
        <v>2280</v>
      </c>
      <c r="AA303" s="23">
        <v>632</v>
      </c>
      <c r="AB303" s="24">
        <v>472</v>
      </c>
      <c r="AC303" s="23">
        <v>220</v>
      </c>
      <c r="AD303" s="24">
        <v>398</v>
      </c>
      <c r="AE303" s="23">
        <v>211</v>
      </c>
      <c r="AF303" s="24">
        <v>74</v>
      </c>
      <c r="AG303" s="23">
        <v>66</v>
      </c>
      <c r="AH303" s="24">
        <v>1318</v>
      </c>
      <c r="AI303" s="23">
        <v>397</v>
      </c>
      <c r="AJ303" s="24">
        <v>932</v>
      </c>
      <c r="AK303" s="23">
        <v>307</v>
      </c>
      <c r="AL303" s="24">
        <v>386</v>
      </c>
      <c r="AM303" s="23">
        <v>173</v>
      </c>
      <c r="AN303" s="24">
        <v>490</v>
      </c>
      <c r="AO303" s="23">
        <v>155</v>
      </c>
      <c r="AP303" s="24">
        <v>490</v>
      </c>
      <c r="AQ303" s="23">
        <v>155</v>
      </c>
      <c r="AR303" s="24">
        <v>0</v>
      </c>
      <c r="AS303" s="20">
        <v>22</v>
      </c>
      <c r="AT303" s="19">
        <v>6718</v>
      </c>
      <c r="AU303" s="23">
        <v>659</v>
      </c>
      <c r="AV303" s="24">
        <v>1483</v>
      </c>
      <c r="AW303" s="23">
        <v>261</v>
      </c>
      <c r="AX303" s="24">
        <v>1460</v>
      </c>
      <c r="AY303" s="23">
        <v>257</v>
      </c>
      <c r="AZ303" s="24">
        <v>23</v>
      </c>
      <c r="BA303" s="23">
        <v>27</v>
      </c>
      <c r="BB303" s="24">
        <v>3676</v>
      </c>
      <c r="BC303" s="23">
        <v>450</v>
      </c>
      <c r="BD303" s="24">
        <v>3342</v>
      </c>
      <c r="BE303" s="23">
        <v>433</v>
      </c>
      <c r="BF303" s="24">
        <v>334</v>
      </c>
      <c r="BG303" s="23">
        <v>116</v>
      </c>
      <c r="BH303" s="24">
        <v>1559</v>
      </c>
      <c r="BI303" s="23">
        <v>232</v>
      </c>
      <c r="BJ303" s="24">
        <v>1559</v>
      </c>
      <c r="BK303" s="23">
        <v>232</v>
      </c>
      <c r="BL303" s="24">
        <v>0</v>
      </c>
      <c r="BM303" s="20">
        <v>22</v>
      </c>
      <c r="BN303" s="19">
        <v>10360</v>
      </c>
      <c r="BO303" s="23">
        <v>684</v>
      </c>
      <c r="BP303" s="24">
        <v>1607</v>
      </c>
      <c r="BQ303" s="23">
        <v>242</v>
      </c>
      <c r="BR303" s="24">
        <v>1544</v>
      </c>
      <c r="BS303" s="23">
        <v>248</v>
      </c>
      <c r="BT303" s="26">
        <v>63</v>
      </c>
      <c r="BU303" s="23">
        <v>63</v>
      </c>
      <c r="BV303" s="24">
        <v>5829</v>
      </c>
      <c r="BW303" s="23">
        <v>495</v>
      </c>
      <c r="BX303" s="24">
        <v>5588</v>
      </c>
      <c r="BY303" s="23">
        <v>485</v>
      </c>
      <c r="BZ303" s="24">
        <v>241</v>
      </c>
      <c r="CA303" s="23">
        <v>106</v>
      </c>
      <c r="CB303" s="24">
        <v>2924</v>
      </c>
      <c r="CC303" s="23">
        <v>314</v>
      </c>
      <c r="CD303" s="24">
        <v>2924</v>
      </c>
      <c r="CE303" s="23">
        <v>314</v>
      </c>
      <c r="CF303" s="24">
        <v>0</v>
      </c>
      <c r="CG303" s="20">
        <v>22</v>
      </c>
    </row>
    <row r="304" spans="1:85" x14ac:dyDescent="0.3">
      <c r="A304" t="s">
        <v>607</v>
      </c>
      <c r="B304">
        <v>21607</v>
      </c>
      <c r="C304" t="s">
        <v>608</v>
      </c>
      <c r="D304" s="19">
        <v>827</v>
      </c>
      <c r="E304" s="20">
        <v>289</v>
      </c>
      <c r="F304" s="19">
        <v>96</v>
      </c>
      <c r="G304" s="23">
        <v>97</v>
      </c>
      <c r="H304" s="24">
        <v>26</v>
      </c>
      <c r="I304" s="23">
        <v>53</v>
      </c>
      <c r="J304" s="24">
        <v>26</v>
      </c>
      <c r="K304" s="23">
        <v>53</v>
      </c>
      <c r="L304" s="24">
        <v>0</v>
      </c>
      <c r="M304" s="23">
        <v>24</v>
      </c>
      <c r="N304" s="24">
        <v>70</v>
      </c>
      <c r="O304" s="23">
        <v>68</v>
      </c>
      <c r="P304" s="24">
        <v>14</v>
      </c>
      <c r="Q304" s="23">
        <v>24</v>
      </c>
      <c r="R304" s="24">
        <v>56</v>
      </c>
      <c r="S304" s="23">
        <v>67</v>
      </c>
      <c r="T304" s="24">
        <v>0</v>
      </c>
      <c r="U304" s="23">
        <v>24</v>
      </c>
      <c r="V304" s="24">
        <v>0</v>
      </c>
      <c r="W304" s="23">
        <v>24</v>
      </c>
      <c r="X304" s="24">
        <v>0</v>
      </c>
      <c r="Y304" s="20">
        <v>24</v>
      </c>
      <c r="Z304" s="19">
        <v>69</v>
      </c>
      <c r="AA304" s="23">
        <v>79</v>
      </c>
      <c r="AB304" s="24">
        <v>34</v>
      </c>
      <c r="AC304" s="23">
        <v>38</v>
      </c>
      <c r="AD304" s="24">
        <v>34</v>
      </c>
      <c r="AE304" s="23">
        <v>38</v>
      </c>
      <c r="AF304" s="24">
        <v>0</v>
      </c>
      <c r="AG304" s="23">
        <v>12</v>
      </c>
      <c r="AH304" s="24">
        <v>33</v>
      </c>
      <c r="AI304" s="23">
        <v>42</v>
      </c>
      <c r="AJ304" s="24">
        <v>33</v>
      </c>
      <c r="AK304" s="23">
        <v>42</v>
      </c>
      <c r="AL304" s="24">
        <v>0</v>
      </c>
      <c r="AM304" s="23">
        <v>12</v>
      </c>
      <c r="AN304" s="24">
        <v>2</v>
      </c>
      <c r="AO304" s="23">
        <v>3</v>
      </c>
      <c r="AP304" s="24">
        <v>2</v>
      </c>
      <c r="AQ304" s="23">
        <v>3</v>
      </c>
      <c r="AR304" s="24">
        <v>0</v>
      </c>
      <c r="AS304" s="20">
        <v>12</v>
      </c>
      <c r="AT304" s="19">
        <v>237</v>
      </c>
      <c r="AU304" s="23">
        <v>138</v>
      </c>
      <c r="AV304" s="24">
        <v>65</v>
      </c>
      <c r="AW304" s="23">
        <v>57</v>
      </c>
      <c r="AX304" s="24">
        <v>65</v>
      </c>
      <c r="AY304" s="23">
        <v>57</v>
      </c>
      <c r="AZ304" s="24">
        <v>0</v>
      </c>
      <c r="BA304" s="23">
        <v>12</v>
      </c>
      <c r="BB304" s="24">
        <v>130</v>
      </c>
      <c r="BC304" s="23">
        <v>85</v>
      </c>
      <c r="BD304" s="24">
        <v>75</v>
      </c>
      <c r="BE304" s="23">
        <v>47</v>
      </c>
      <c r="BF304" s="24">
        <v>55</v>
      </c>
      <c r="BG304" s="23">
        <v>55</v>
      </c>
      <c r="BH304" s="24">
        <v>42</v>
      </c>
      <c r="BI304" s="23">
        <v>35</v>
      </c>
      <c r="BJ304" s="24">
        <v>42</v>
      </c>
      <c r="BK304" s="23">
        <v>35</v>
      </c>
      <c r="BL304" s="24">
        <v>0</v>
      </c>
      <c r="BM304" s="20">
        <v>12</v>
      </c>
      <c r="BN304" s="19">
        <v>425</v>
      </c>
      <c r="BO304" s="23">
        <v>226</v>
      </c>
      <c r="BP304" s="24">
        <v>134</v>
      </c>
      <c r="BQ304" s="23">
        <v>135</v>
      </c>
      <c r="BR304" s="24">
        <v>134</v>
      </c>
      <c r="BS304" s="23">
        <v>135</v>
      </c>
      <c r="BT304" s="26">
        <v>0</v>
      </c>
      <c r="BU304" s="23">
        <v>12</v>
      </c>
      <c r="BV304" s="24">
        <v>277</v>
      </c>
      <c r="BW304" s="23">
        <v>115</v>
      </c>
      <c r="BX304" s="24">
        <v>277</v>
      </c>
      <c r="BY304" s="23">
        <v>115</v>
      </c>
      <c r="BZ304" s="24">
        <v>0</v>
      </c>
      <c r="CA304" s="23">
        <v>12</v>
      </c>
      <c r="CB304" s="24">
        <v>14</v>
      </c>
      <c r="CC304" s="23">
        <v>17</v>
      </c>
      <c r="CD304" s="24">
        <v>14</v>
      </c>
      <c r="CE304" s="23">
        <v>17</v>
      </c>
      <c r="CF304" s="24">
        <v>0</v>
      </c>
      <c r="CG304" s="20">
        <v>12</v>
      </c>
    </row>
    <row r="305" spans="1:85" x14ac:dyDescent="0.3">
      <c r="A305" t="s">
        <v>609</v>
      </c>
      <c r="B305">
        <v>21610</v>
      </c>
      <c r="C305" t="s">
        <v>610</v>
      </c>
      <c r="D305" s="19">
        <v>415</v>
      </c>
      <c r="E305" s="20">
        <v>115</v>
      </c>
      <c r="F305" s="19">
        <v>132</v>
      </c>
      <c r="G305" s="23">
        <v>135</v>
      </c>
      <c r="H305" s="24">
        <v>79</v>
      </c>
      <c r="I305" s="23">
        <v>106</v>
      </c>
      <c r="J305" s="24">
        <v>79</v>
      </c>
      <c r="K305" s="23">
        <v>106</v>
      </c>
      <c r="L305" s="24">
        <v>0</v>
      </c>
      <c r="M305" s="23">
        <v>24</v>
      </c>
      <c r="N305" s="24">
        <v>51</v>
      </c>
      <c r="O305" s="23">
        <v>40</v>
      </c>
      <c r="P305" s="24">
        <v>33</v>
      </c>
      <c r="Q305" s="23">
        <v>34</v>
      </c>
      <c r="R305" s="24">
        <v>18</v>
      </c>
      <c r="S305" s="23">
        <v>27</v>
      </c>
      <c r="T305" s="24">
        <v>2</v>
      </c>
      <c r="U305" s="23">
        <v>6</v>
      </c>
      <c r="V305" s="24">
        <v>2</v>
      </c>
      <c r="W305" s="23">
        <v>6</v>
      </c>
      <c r="X305" s="24">
        <v>0</v>
      </c>
      <c r="Y305" s="20">
        <v>24</v>
      </c>
      <c r="Z305" s="19">
        <v>40</v>
      </c>
      <c r="AA305" s="23">
        <v>24</v>
      </c>
      <c r="AB305" s="24">
        <v>11</v>
      </c>
      <c r="AC305" s="23">
        <v>10</v>
      </c>
      <c r="AD305" s="24">
        <v>11</v>
      </c>
      <c r="AE305" s="23">
        <v>10</v>
      </c>
      <c r="AF305" s="24">
        <v>0</v>
      </c>
      <c r="AG305" s="23">
        <v>12</v>
      </c>
      <c r="AH305" s="24">
        <v>27</v>
      </c>
      <c r="AI305" s="23">
        <v>20</v>
      </c>
      <c r="AJ305" s="24">
        <v>22</v>
      </c>
      <c r="AK305" s="23">
        <v>19</v>
      </c>
      <c r="AL305" s="24">
        <v>5</v>
      </c>
      <c r="AM305" s="23">
        <v>6</v>
      </c>
      <c r="AN305" s="24">
        <v>2</v>
      </c>
      <c r="AO305" s="23">
        <v>4</v>
      </c>
      <c r="AP305" s="24">
        <v>2</v>
      </c>
      <c r="AQ305" s="23">
        <v>4</v>
      </c>
      <c r="AR305" s="24">
        <v>0</v>
      </c>
      <c r="AS305" s="20">
        <v>12</v>
      </c>
      <c r="AT305" s="19">
        <v>123</v>
      </c>
      <c r="AU305" s="23">
        <v>48</v>
      </c>
      <c r="AV305" s="24">
        <v>23</v>
      </c>
      <c r="AW305" s="23">
        <v>18</v>
      </c>
      <c r="AX305" s="24">
        <v>23</v>
      </c>
      <c r="AY305" s="23">
        <v>18</v>
      </c>
      <c r="AZ305" s="24">
        <v>0</v>
      </c>
      <c r="BA305" s="23">
        <v>12</v>
      </c>
      <c r="BB305" s="24">
        <v>80</v>
      </c>
      <c r="BC305" s="23">
        <v>33</v>
      </c>
      <c r="BD305" s="24">
        <v>71</v>
      </c>
      <c r="BE305" s="23">
        <v>33</v>
      </c>
      <c r="BF305" s="24">
        <v>9</v>
      </c>
      <c r="BG305" s="23">
        <v>9</v>
      </c>
      <c r="BH305" s="24">
        <v>20</v>
      </c>
      <c r="BI305" s="23">
        <v>12</v>
      </c>
      <c r="BJ305" s="24">
        <v>20</v>
      </c>
      <c r="BK305" s="23">
        <v>12</v>
      </c>
      <c r="BL305" s="24">
        <v>0</v>
      </c>
      <c r="BM305" s="20">
        <v>12</v>
      </c>
      <c r="BN305" s="19">
        <v>120</v>
      </c>
      <c r="BO305" s="23">
        <v>54</v>
      </c>
      <c r="BP305" s="24">
        <v>14</v>
      </c>
      <c r="BQ305" s="23">
        <v>14</v>
      </c>
      <c r="BR305" s="24">
        <v>14</v>
      </c>
      <c r="BS305" s="23">
        <v>14</v>
      </c>
      <c r="BT305" s="26">
        <v>0</v>
      </c>
      <c r="BU305" s="23">
        <v>12</v>
      </c>
      <c r="BV305" s="24">
        <v>75</v>
      </c>
      <c r="BW305" s="23">
        <v>41</v>
      </c>
      <c r="BX305" s="24">
        <v>65</v>
      </c>
      <c r="BY305" s="23">
        <v>38</v>
      </c>
      <c r="BZ305" s="24">
        <v>10</v>
      </c>
      <c r="CA305" s="23">
        <v>12</v>
      </c>
      <c r="CB305" s="24">
        <v>31</v>
      </c>
      <c r="CC305" s="23">
        <v>23</v>
      </c>
      <c r="CD305" s="24">
        <v>31</v>
      </c>
      <c r="CE305" s="23">
        <v>23</v>
      </c>
      <c r="CF305" s="24">
        <v>0</v>
      </c>
      <c r="CG305" s="20">
        <v>12</v>
      </c>
    </row>
    <row r="306" spans="1:85" x14ac:dyDescent="0.3">
      <c r="A306" t="s">
        <v>611</v>
      </c>
      <c r="B306">
        <v>21612</v>
      </c>
      <c r="C306" t="s">
        <v>612</v>
      </c>
      <c r="D306" s="19">
        <v>338</v>
      </c>
      <c r="E306" s="20">
        <v>107</v>
      </c>
      <c r="F306" s="19">
        <v>38</v>
      </c>
      <c r="G306" s="23">
        <v>46</v>
      </c>
      <c r="H306" s="24">
        <v>7</v>
      </c>
      <c r="I306" s="23">
        <v>24</v>
      </c>
      <c r="J306" s="24">
        <v>7</v>
      </c>
      <c r="K306" s="23">
        <v>24</v>
      </c>
      <c r="L306" s="24">
        <v>0</v>
      </c>
      <c r="M306" s="23">
        <v>24</v>
      </c>
      <c r="N306" s="24">
        <v>31</v>
      </c>
      <c r="O306" s="23">
        <v>37</v>
      </c>
      <c r="P306" s="24">
        <v>31</v>
      </c>
      <c r="Q306" s="23">
        <v>37</v>
      </c>
      <c r="R306" s="24">
        <v>0</v>
      </c>
      <c r="S306" s="23">
        <v>24</v>
      </c>
      <c r="T306" s="24">
        <v>0</v>
      </c>
      <c r="U306" s="23">
        <v>24</v>
      </c>
      <c r="V306" s="24">
        <v>0</v>
      </c>
      <c r="W306" s="23">
        <v>24</v>
      </c>
      <c r="X306" s="24">
        <v>0</v>
      </c>
      <c r="Y306" s="20">
        <v>24</v>
      </c>
      <c r="Z306" s="19">
        <v>46</v>
      </c>
      <c r="AA306" s="23">
        <v>35</v>
      </c>
      <c r="AB306" s="24">
        <v>0</v>
      </c>
      <c r="AC306" s="23">
        <v>12</v>
      </c>
      <c r="AD306" s="24">
        <v>0</v>
      </c>
      <c r="AE306" s="23">
        <v>12</v>
      </c>
      <c r="AF306" s="24">
        <v>0</v>
      </c>
      <c r="AG306" s="23">
        <v>12</v>
      </c>
      <c r="AH306" s="24">
        <v>0</v>
      </c>
      <c r="AI306" s="23">
        <v>12</v>
      </c>
      <c r="AJ306" s="24">
        <v>0</v>
      </c>
      <c r="AK306" s="23">
        <v>12</v>
      </c>
      <c r="AL306" s="24">
        <v>0</v>
      </c>
      <c r="AM306" s="23">
        <v>12</v>
      </c>
      <c r="AN306" s="24">
        <v>46</v>
      </c>
      <c r="AO306" s="23">
        <v>35</v>
      </c>
      <c r="AP306" s="24">
        <v>46</v>
      </c>
      <c r="AQ306" s="23">
        <v>35</v>
      </c>
      <c r="AR306" s="24">
        <v>0</v>
      </c>
      <c r="AS306" s="20">
        <v>12</v>
      </c>
      <c r="AT306" s="19">
        <v>74</v>
      </c>
      <c r="AU306" s="23">
        <v>65</v>
      </c>
      <c r="AV306" s="24">
        <v>18</v>
      </c>
      <c r="AW306" s="23">
        <v>22</v>
      </c>
      <c r="AX306" s="24">
        <v>18</v>
      </c>
      <c r="AY306" s="23">
        <v>22</v>
      </c>
      <c r="AZ306" s="24">
        <v>0</v>
      </c>
      <c r="BA306" s="23">
        <v>12</v>
      </c>
      <c r="BB306" s="24">
        <v>37</v>
      </c>
      <c r="BC306" s="23">
        <v>43</v>
      </c>
      <c r="BD306" s="24">
        <v>37</v>
      </c>
      <c r="BE306" s="23">
        <v>43</v>
      </c>
      <c r="BF306" s="24">
        <v>0</v>
      </c>
      <c r="BG306" s="23">
        <v>12</v>
      </c>
      <c r="BH306" s="24">
        <v>19</v>
      </c>
      <c r="BI306" s="23">
        <v>27</v>
      </c>
      <c r="BJ306" s="24">
        <v>19</v>
      </c>
      <c r="BK306" s="23">
        <v>27</v>
      </c>
      <c r="BL306" s="24">
        <v>0</v>
      </c>
      <c r="BM306" s="20">
        <v>12</v>
      </c>
      <c r="BN306" s="19">
        <v>180</v>
      </c>
      <c r="BO306" s="23">
        <v>90</v>
      </c>
      <c r="BP306" s="24">
        <v>4</v>
      </c>
      <c r="BQ306" s="23">
        <v>7</v>
      </c>
      <c r="BR306" s="24">
        <v>4</v>
      </c>
      <c r="BS306" s="23">
        <v>7</v>
      </c>
      <c r="BT306" s="26">
        <v>0</v>
      </c>
      <c r="BU306" s="23">
        <v>12</v>
      </c>
      <c r="BV306" s="24">
        <v>94</v>
      </c>
      <c r="BW306" s="23">
        <v>69</v>
      </c>
      <c r="BX306" s="24">
        <v>94</v>
      </c>
      <c r="BY306" s="23">
        <v>69</v>
      </c>
      <c r="BZ306" s="24">
        <v>0</v>
      </c>
      <c r="CA306" s="23">
        <v>12</v>
      </c>
      <c r="CB306" s="24">
        <v>82</v>
      </c>
      <c r="CC306" s="23">
        <v>54</v>
      </c>
      <c r="CD306" s="24">
        <v>82</v>
      </c>
      <c r="CE306" s="23">
        <v>54</v>
      </c>
      <c r="CF306" s="24">
        <v>0</v>
      </c>
      <c r="CG306" s="20">
        <v>12</v>
      </c>
    </row>
    <row r="307" spans="1:85" x14ac:dyDescent="0.3">
      <c r="A307" t="s">
        <v>613</v>
      </c>
      <c r="B307">
        <v>21613</v>
      </c>
      <c r="C307" t="s">
        <v>614</v>
      </c>
      <c r="D307" s="19">
        <v>17048</v>
      </c>
      <c r="E307" s="20">
        <v>485</v>
      </c>
      <c r="F307" s="19">
        <v>4629</v>
      </c>
      <c r="G307" s="23">
        <v>895</v>
      </c>
      <c r="H307" s="24">
        <v>1773</v>
      </c>
      <c r="I307" s="23">
        <v>551</v>
      </c>
      <c r="J307" s="24">
        <v>1773</v>
      </c>
      <c r="K307" s="23">
        <v>551</v>
      </c>
      <c r="L307" s="24">
        <v>0</v>
      </c>
      <c r="M307" s="23">
        <v>38</v>
      </c>
      <c r="N307" s="24">
        <v>2274</v>
      </c>
      <c r="O307" s="23">
        <v>486</v>
      </c>
      <c r="P307" s="24">
        <v>2066</v>
      </c>
      <c r="Q307" s="23">
        <v>443</v>
      </c>
      <c r="R307" s="24">
        <v>208</v>
      </c>
      <c r="S307" s="23">
        <v>140</v>
      </c>
      <c r="T307" s="24">
        <v>582</v>
      </c>
      <c r="U307" s="23">
        <v>212</v>
      </c>
      <c r="V307" s="24">
        <v>582</v>
      </c>
      <c r="W307" s="23">
        <v>212</v>
      </c>
      <c r="X307" s="24">
        <v>0</v>
      </c>
      <c r="Y307" s="20">
        <v>38</v>
      </c>
      <c r="Z307" s="19">
        <v>2447</v>
      </c>
      <c r="AA307" s="23">
        <v>493</v>
      </c>
      <c r="AB307" s="24">
        <v>731</v>
      </c>
      <c r="AC307" s="23">
        <v>297</v>
      </c>
      <c r="AD307" s="24">
        <v>724</v>
      </c>
      <c r="AE307" s="23">
        <v>297</v>
      </c>
      <c r="AF307" s="24">
        <v>7</v>
      </c>
      <c r="AG307" s="23">
        <v>12</v>
      </c>
      <c r="AH307" s="24">
        <v>1253</v>
      </c>
      <c r="AI307" s="23">
        <v>260</v>
      </c>
      <c r="AJ307" s="24">
        <v>1127</v>
      </c>
      <c r="AK307" s="23">
        <v>252</v>
      </c>
      <c r="AL307" s="24">
        <v>126</v>
      </c>
      <c r="AM307" s="23">
        <v>62</v>
      </c>
      <c r="AN307" s="24">
        <v>463</v>
      </c>
      <c r="AO307" s="23">
        <v>123</v>
      </c>
      <c r="AP307" s="24">
        <v>463</v>
      </c>
      <c r="AQ307" s="23">
        <v>123</v>
      </c>
      <c r="AR307" s="24">
        <v>0</v>
      </c>
      <c r="AS307" s="20">
        <v>19</v>
      </c>
      <c r="AT307" s="19">
        <v>4465</v>
      </c>
      <c r="AU307" s="23">
        <v>621</v>
      </c>
      <c r="AV307" s="24">
        <v>751</v>
      </c>
      <c r="AW307" s="23">
        <v>255</v>
      </c>
      <c r="AX307" s="24">
        <v>751</v>
      </c>
      <c r="AY307" s="23">
        <v>255</v>
      </c>
      <c r="AZ307" s="24">
        <v>0</v>
      </c>
      <c r="BA307" s="23">
        <v>19</v>
      </c>
      <c r="BB307" s="24">
        <v>2730</v>
      </c>
      <c r="BC307" s="23">
        <v>392</v>
      </c>
      <c r="BD307" s="24">
        <v>2479</v>
      </c>
      <c r="BE307" s="23">
        <v>377</v>
      </c>
      <c r="BF307" s="24">
        <v>251</v>
      </c>
      <c r="BG307" s="23">
        <v>119</v>
      </c>
      <c r="BH307" s="24">
        <v>984</v>
      </c>
      <c r="BI307" s="23">
        <v>193</v>
      </c>
      <c r="BJ307" s="24">
        <v>978</v>
      </c>
      <c r="BK307" s="23">
        <v>193</v>
      </c>
      <c r="BL307" s="24">
        <v>6</v>
      </c>
      <c r="BM307" s="20">
        <v>10</v>
      </c>
      <c r="BN307" s="19">
        <v>5507</v>
      </c>
      <c r="BO307" s="23">
        <v>542</v>
      </c>
      <c r="BP307" s="24">
        <v>424</v>
      </c>
      <c r="BQ307" s="23">
        <v>140</v>
      </c>
      <c r="BR307" s="24">
        <v>417</v>
      </c>
      <c r="BS307" s="23">
        <v>139</v>
      </c>
      <c r="BT307" s="26">
        <v>7</v>
      </c>
      <c r="BU307" s="23">
        <v>10</v>
      </c>
      <c r="BV307" s="24">
        <v>3661</v>
      </c>
      <c r="BW307" s="23">
        <v>465</v>
      </c>
      <c r="BX307" s="24">
        <v>3452</v>
      </c>
      <c r="BY307" s="23">
        <v>466</v>
      </c>
      <c r="BZ307" s="24">
        <v>209</v>
      </c>
      <c r="CA307" s="23">
        <v>111</v>
      </c>
      <c r="CB307" s="24">
        <v>1422</v>
      </c>
      <c r="CC307" s="23">
        <v>168</v>
      </c>
      <c r="CD307" s="24">
        <v>1422</v>
      </c>
      <c r="CE307" s="23">
        <v>168</v>
      </c>
      <c r="CF307" s="24">
        <v>0</v>
      </c>
      <c r="CG307" s="20">
        <v>19</v>
      </c>
    </row>
    <row r="308" spans="1:85" x14ac:dyDescent="0.3">
      <c r="A308" t="s">
        <v>615</v>
      </c>
      <c r="B308">
        <v>21617</v>
      </c>
      <c r="C308" t="s">
        <v>616</v>
      </c>
      <c r="D308" s="19">
        <v>10316</v>
      </c>
      <c r="E308" s="20">
        <v>570</v>
      </c>
      <c r="F308" s="19">
        <v>604</v>
      </c>
      <c r="G308" s="23">
        <v>295</v>
      </c>
      <c r="H308" s="24">
        <v>111</v>
      </c>
      <c r="I308" s="23">
        <v>118</v>
      </c>
      <c r="J308" s="24">
        <v>97</v>
      </c>
      <c r="K308" s="23">
        <v>109</v>
      </c>
      <c r="L308" s="24">
        <v>14</v>
      </c>
      <c r="M308" s="23">
        <v>36</v>
      </c>
      <c r="N308" s="24">
        <v>265</v>
      </c>
      <c r="O308" s="23">
        <v>189</v>
      </c>
      <c r="P308" s="24">
        <v>244</v>
      </c>
      <c r="Q308" s="23">
        <v>182</v>
      </c>
      <c r="R308" s="24">
        <v>21</v>
      </c>
      <c r="S308" s="23">
        <v>46</v>
      </c>
      <c r="T308" s="24">
        <v>228</v>
      </c>
      <c r="U308" s="23">
        <v>214</v>
      </c>
      <c r="V308" s="24">
        <v>228</v>
      </c>
      <c r="W308" s="23">
        <v>214</v>
      </c>
      <c r="X308" s="24">
        <v>0</v>
      </c>
      <c r="Y308" s="20">
        <v>38</v>
      </c>
      <c r="Z308" s="19">
        <v>428</v>
      </c>
      <c r="AA308" s="23">
        <v>201</v>
      </c>
      <c r="AB308" s="24">
        <v>71</v>
      </c>
      <c r="AC308" s="23">
        <v>56</v>
      </c>
      <c r="AD308" s="24">
        <v>60</v>
      </c>
      <c r="AE308" s="23">
        <v>50</v>
      </c>
      <c r="AF308" s="24">
        <v>11</v>
      </c>
      <c r="AG308" s="23">
        <v>21</v>
      </c>
      <c r="AH308" s="24">
        <v>272</v>
      </c>
      <c r="AI308" s="23">
        <v>172</v>
      </c>
      <c r="AJ308" s="24">
        <v>206</v>
      </c>
      <c r="AK308" s="23">
        <v>111</v>
      </c>
      <c r="AL308" s="24">
        <v>66</v>
      </c>
      <c r="AM308" s="23">
        <v>75</v>
      </c>
      <c r="AN308" s="24">
        <v>85</v>
      </c>
      <c r="AO308" s="23">
        <v>59</v>
      </c>
      <c r="AP308" s="24">
        <v>85</v>
      </c>
      <c r="AQ308" s="23">
        <v>59</v>
      </c>
      <c r="AR308" s="24">
        <v>0</v>
      </c>
      <c r="AS308" s="20">
        <v>19</v>
      </c>
      <c r="AT308" s="19">
        <v>2085</v>
      </c>
      <c r="AU308" s="23">
        <v>522</v>
      </c>
      <c r="AV308" s="24">
        <v>577</v>
      </c>
      <c r="AW308" s="23">
        <v>196</v>
      </c>
      <c r="AX308" s="24">
        <v>555</v>
      </c>
      <c r="AY308" s="23">
        <v>194</v>
      </c>
      <c r="AZ308" s="24">
        <v>22</v>
      </c>
      <c r="BA308" s="23">
        <v>33</v>
      </c>
      <c r="BB308" s="24">
        <v>1088</v>
      </c>
      <c r="BC308" s="23">
        <v>323</v>
      </c>
      <c r="BD308" s="24">
        <v>980</v>
      </c>
      <c r="BE308" s="23">
        <v>298</v>
      </c>
      <c r="BF308" s="24">
        <v>108</v>
      </c>
      <c r="BG308" s="23">
        <v>91</v>
      </c>
      <c r="BH308" s="24">
        <v>420</v>
      </c>
      <c r="BI308" s="23">
        <v>141</v>
      </c>
      <c r="BJ308" s="24">
        <v>420</v>
      </c>
      <c r="BK308" s="23">
        <v>141</v>
      </c>
      <c r="BL308" s="24">
        <v>0</v>
      </c>
      <c r="BM308" s="20">
        <v>19</v>
      </c>
      <c r="BN308" s="19">
        <v>7199</v>
      </c>
      <c r="BO308" s="23">
        <v>639</v>
      </c>
      <c r="BP308" s="24">
        <v>2007</v>
      </c>
      <c r="BQ308" s="23">
        <v>318</v>
      </c>
      <c r="BR308" s="24">
        <v>1960</v>
      </c>
      <c r="BS308" s="23">
        <v>331</v>
      </c>
      <c r="BT308" s="26">
        <v>47</v>
      </c>
      <c r="BU308" s="23">
        <v>64</v>
      </c>
      <c r="BV308" s="24">
        <v>4094</v>
      </c>
      <c r="BW308" s="23">
        <v>363</v>
      </c>
      <c r="BX308" s="24">
        <v>3988</v>
      </c>
      <c r="BY308" s="23">
        <v>350</v>
      </c>
      <c r="BZ308" s="24">
        <v>106</v>
      </c>
      <c r="CA308" s="23">
        <v>87</v>
      </c>
      <c r="CB308" s="24">
        <v>1098</v>
      </c>
      <c r="CC308" s="23">
        <v>217</v>
      </c>
      <c r="CD308" s="24">
        <v>1098</v>
      </c>
      <c r="CE308" s="23">
        <v>217</v>
      </c>
      <c r="CF308" s="24">
        <v>0</v>
      </c>
      <c r="CG308" s="20">
        <v>19</v>
      </c>
    </row>
    <row r="309" spans="1:85" x14ac:dyDescent="0.3">
      <c r="A309" t="s">
        <v>617</v>
      </c>
      <c r="B309">
        <v>21619</v>
      </c>
      <c r="C309" t="s">
        <v>618</v>
      </c>
      <c r="D309" s="19">
        <v>6168</v>
      </c>
      <c r="E309" s="20">
        <v>530</v>
      </c>
      <c r="F309" s="19">
        <v>603</v>
      </c>
      <c r="G309" s="23">
        <v>301</v>
      </c>
      <c r="H309" s="24">
        <v>178</v>
      </c>
      <c r="I309" s="23">
        <v>140</v>
      </c>
      <c r="J309" s="24">
        <v>178</v>
      </c>
      <c r="K309" s="23">
        <v>140</v>
      </c>
      <c r="L309" s="24">
        <v>0</v>
      </c>
      <c r="M309" s="23">
        <v>34</v>
      </c>
      <c r="N309" s="24">
        <v>335</v>
      </c>
      <c r="O309" s="23">
        <v>203</v>
      </c>
      <c r="P309" s="24">
        <v>315</v>
      </c>
      <c r="Q309" s="23">
        <v>189</v>
      </c>
      <c r="R309" s="24">
        <v>20</v>
      </c>
      <c r="S309" s="23">
        <v>45</v>
      </c>
      <c r="T309" s="24">
        <v>90</v>
      </c>
      <c r="U309" s="23">
        <v>69</v>
      </c>
      <c r="V309" s="24">
        <v>90</v>
      </c>
      <c r="W309" s="23">
        <v>69</v>
      </c>
      <c r="X309" s="24">
        <v>0</v>
      </c>
      <c r="Y309" s="20">
        <v>34</v>
      </c>
      <c r="Z309" s="19">
        <v>616</v>
      </c>
      <c r="AA309" s="23">
        <v>357</v>
      </c>
      <c r="AB309" s="24">
        <v>235</v>
      </c>
      <c r="AC309" s="23">
        <v>173</v>
      </c>
      <c r="AD309" s="24">
        <v>48</v>
      </c>
      <c r="AE309" s="23">
        <v>36</v>
      </c>
      <c r="AF309" s="24">
        <v>187</v>
      </c>
      <c r="AG309" s="23">
        <v>166</v>
      </c>
      <c r="AH309" s="24">
        <v>253</v>
      </c>
      <c r="AI309" s="23">
        <v>141</v>
      </c>
      <c r="AJ309" s="24">
        <v>96</v>
      </c>
      <c r="AK309" s="23">
        <v>57</v>
      </c>
      <c r="AL309" s="24">
        <v>157</v>
      </c>
      <c r="AM309" s="23">
        <v>121</v>
      </c>
      <c r="AN309" s="24">
        <v>128</v>
      </c>
      <c r="AO309" s="23">
        <v>81</v>
      </c>
      <c r="AP309" s="24">
        <v>69</v>
      </c>
      <c r="AQ309" s="23">
        <v>47</v>
      </c>
      <c r="AR309" s="24">
        <v>59</v>
      </c>
      <c r="AS309" s="20">
        <v>62</v>
      </c>
      <c r="AT309" s="19">
        <v>1343</v>
      </c>
      <c r="AU309" s="23">
        <v>346</v>
      </c>
      <c r="AV309" s="24">
        <v>292</v>
      </c>
      <c r="AW309" s="23">
        <v>145</v>
      </c>
      <c r="AX309" s="24">
        <v>292</v>
      </c>
      <c r="AY309" s="23">
        <v>145</v>
      </c>
      <c r="AZ309" s="24">
        <v>0</v>
      </c>
      <c r="BA309" s="23">
        <v>17</v>
      </c>
      <c r="BB309" s="24">
        <v>647</v>
      </c>
      <c r="BC309" s="23">
        <v>204</v>
      </c>
      <c r="BD309" s="24">
        <v>591</v>
      </c>
      <c r="BE309" s="23">
        <v>190</v>
      </c>
      <c r="BF309" s="24">
        <v>56</v>
      </c>
      <c r="BG309" s="23">
        <v>49</v>
      </c>
      <c r="BH309" s="24">
        <v>404</v>
      </c>
      <c r="BI309" s="23">
        <v>137</v>
      </c>
      <c r="BJ309" s="24">
        <v>404</v>
      </c>
      <c r="BK309" s="23">
        <v>137</v>
      </c>
      <c r="BL309" s="24">
        <v>0</v>
      </c>
      <c r="BM309" s="20">
        <v>17</v>
      </c>
      <c r="BN309" s="19">
        <v>3606</v>
      </c>
      <c r="BO309" s="23">
        <v>482</v>
      </c>
      <c r="BP309" s="24">
        <v>567</v>
      </c>
      <c r="BQ309" s="23">
        <v>164</v>
      </c>
      <c r="BR309" s="24">
        <v>567</v>
      </c>
      <c r="BS309" s="23">
        <v>164</v>
      </c>
      <c r="BT309" s="26">
        <v>0</v>
      </c>
      <c r="BU309" s="23">
        <v>17</v>
      </c>
      <c r="BV309" s="24">
        <v>2441</v>
      </c>
      <c r="BW309" s="23">
        <v>341</v>
      </c>
      <c r="BX309" s="24">
        <v>2398</v>
      </c>
      <c r="BY309" s="23">
        <v>335</v>
      </c>
      <c r="BZ309" s="24">
        <v>43</v>
      </c>
      <c r="CA309" s="23">
        <v>45</v>
      </c>
      <c r="CB309" s="24">
        <v>598</v>
      </c>
      <c r="CC309" s="23">
        <v>151</v>
      </c>
      <c r="CD309" s="24">
        <v>598</v>
      </c>
      <c r="CE309" s="23">
        <v>151</v>
      </c>
      <c r="CF309" s="24">
        <v>0</v>
      </c>
      <c r="CG309" s="20">
        <v>17</v>
      </c>
    </row>
    <row r="310" spans="1:85" x14ac:dyDescent="0.3">
      <c r="A310" t="s">
        <v>619</v>
      </c>
      <c r="B310">
        <v>21620</v>
      </c>
      <c r="C310" t="s">
        <v>620</v>
      </c>
      <c r="D310" s="19">
        <v>11052</v>
      </c>
      <c r="E310" s="20">
        <v>621</v>
      </c>
      <c r="F310" s="19">
        <v>2420</v>
      </c>
      <c r="G310" s="23">
        <v>783</v>
      </c>
      <c r="H310" s="24">
        <v>700</v>
      </c>
      <c r="I310" s="23">
        <v>423</v>
      </c>
      <c r="J310" s="24">
        <v>678</v>
      </c>
      <c r="K310" s="23">
        <v>421</v>
      </c>
      <c r="L310" s="24">
        <v>22</v>
      </c>
      <c r="M310" s="23">
        <v>39</v>
      </c>
      <c r="N310" s="24">
        <v>1330</v>
      </c>
      <c r="O310" s="23">
        <v>431</v>
      </c>
      <c r="P310" s="24">
        <v>1221</v>
      </c>
      <c r="Q310" s="23">
        <v>432</v>
      </c>
      <c r="R310" s="24">
        <v>109</v>
      </c>
      <c r="S310" s="23">
        <v>85</v>
      </c>
      <c r="T310" s="24">
        <v>390</v>
      </c>
      <c r="U310" s="23">
        <v>217</v>
      </c>
      <c r="V310" s="24">
        <v>390</v>
      </c>
      <c r="W310" s="23">
        <v>217</v>
      </c>
      <c r="X310" s="24">
        <v>0</v>
      </c>
      <c r="Y310" s="20">
        <v>38</v>
      </c>
      <c r="Z310" s="19">
        <v>930</v>
      </c>
      <c r="AA310" s="23">
        <v>351</v>
      </c>
      <c r="AB310" s="24">
        <v>257</v>
      </c>
      <c r="AC310" s="23">
        <v>154</v>
      </c>
      <c r="AD310" s="24">
        <v>257</v>
      </c>
      <c r="AE310" s="23">
        <v>154</v>
      </c>
      <c r="AF310" s="24">
        <v>0</v>
      </c>
      <c r="AG310" s="23">
        <v>19</v>
      </c>
      <c r="AH310" s="24">
        <v>513</v>
      </c>
      <c r="AI310" s="23">
        <v>204</v>
      </c>
      <c r="AJ310" s="24">
        <v>462</v>
      </c>
      <c r="AK310" s="23">
        <v>179</v>
      </c>
      <c r="AL310" s="24">
        <v>51</v>
      </c>
      <c r="AM310" s="23">
        <v>72</v>
      </c>
      <c r="AN310" s="24">
        <v>160</v>
      </c>
      <c r="AO310" s="23">
        <v>79</v>
      </c>
      <c r="AP310" s="24">
        <v>160</v>
      </c>
      <c r="AQ310" s="23">
        <v>79</v>
      </c>
      <c r="AR310" s="24">
        <v>0</v>
      </c>
      <c r="AS310" s="20">
        <v>19</v>
      </c>
      <c r="AT310" s="19">
        <v>3318</v>
      </c>
      <c r="AU310" s="23">
        <v>612</v>
      </c>
      <c r="AV310" s="24">
        <v>508</v>
      </c>
      <c r="AW310" s="23">
        <v>190</v>
      </c>
      <c r="AX310" s="24">
        <v>508</v>
      </c>
      <c r="AY310" s="23">
        <v>190</v>
      </c>
      <c r="AZ310" s="24">
        <v>0</v>
      </c>
      <c r="BA310" s="23">
        <v>19</v>
      </c>
      <c r="BB310" s="24">
        <v>1922</v>
      </c>
      <c r="BC310" s="23">
        <v>453</v>
      </c>
      <c r="BD310" s="24">
        <v>1708</v>
      </c>
      <c r="BE310" s="23">
        <v>397</v>
      </c>
      <c r="BF310" s="24">
        <v>214</v>
      </c>
      <c r="BG310" s="23">
        <v>138</v>
      </c>
      <c r="BH310" s="24">
        <v>888</v>
      </c>
      <c r="BI310" s="23">
        <v>185</v>
      </c>
      <c r="BJ310" s="24">
        <v>888</v>
      </c>
      <c r="BK310" s="23">
        <v>185</v>
      </c>
      <c r="BL310" s="24">
        <v>0</v>
      </c>
      <c r="BM310" s="20">
        <v>19</v>
      </c>
      <c r="BN310" s="19">
        <v>4384</v>
      </c>
      <c r="BO310" s="23">
        <v>474</v>
      </c>
      <c r="BP310" s="24">
        <v>290</v>
      </c>
      <c r="BQ310" s="23">
        <v>102</v>
      </c>
      <c r="BR310" s="24">
        <v>290</v>
      </c>
      <c r="BS310" s="23">
        <v>102</v>
      </c>
      <c r="BT310" s="26">
        <v>0</v>
      </c>
      <c r="BU310" s="23">
        <v>19</v>
      </c>
      <c r="BV310" s="24">
        <v>2372</v>
      </c>
      <c r="BW310" s="23">
        <v>351</v>
      </c>
      <c r="BX310" s="24">
        <v>2319</v>
      </c>
      <c r="BY310" s="23">
        <v>349</v>
      </c>
      <c r="BZ310" s="24">
        <v>53</v>
      </c>
      <c r="CA310" s="23">
        <v>50</v>
      </c>
      <c r="CB310" s="24">
        <v>1722</v>
      </c>
      <c r="CC310" s="23">
        <v>264</v>
      </c>
      <c r="CD310" s="24">
        <v>1722</v>
      </c>
      <c r="CE310" s="23">
        <v>264</v>
      </c>
      <c r="CF310" s="24">
        <v>0</v>
      </c>
      <c r="CG310" s="20">
        <v>19</v>
      </c>
    </row>
    <row r="311" spans="1:85" x14ac:dyDescent="0.3">
      <c r="A311" t="s">
        <v>621</v>
      </c>
      <c r="B311">
        <v>21622</v>
      </c>
      <c r="C311" t="s">
        <v>622</v>
      </c>
      <c r="D311" s="19">
        <v>1055</v>
      </c>
      <c r="E311" s="20">
        <v>262</v>
      </c>
      <c r="F311" s="19">
        <v>227</v>
      </c>
      <c r="G311" s="23">
        <v>239</v>
      </c>
      <c r="H311" s="24">
        <v>104</v>
      </c>
      <c r="I311" s="23">
        <v>130</v>
      </c>
      <c r="J311" s="24">
        <v>104</v>
      </c>
      <c r="K311" s="23">
        <v>130</v>
      </c>
      <c r="L311" s="24">
        <v>0</v>
      </c>
      <c r="M311" s="23">
        <v>24</v>
      </c>
      <c r="N311" s="24">
        <v>106</v>
      </c>
      <c r="O311" s="23">
        <v>122</v>
      </c>
      <c r="P311" s="24">
        <v>106</v>
      </c>
      <c r="Q311" s="23">
        <v>122</v>
      </c>
      <c r="R311" s="24">
        <v>0</v>
      </c>
      <c r="S311" s="23">
        <v>24</v>
      </c>
      <c r="T311" s="24">
        <v>17</v>
      </c>
      <c r="U311" s="23">
        <v>18</v>
      </c>
      <c r="V311" s="24">
        <v>17</v>
      </c>
      <c r="W311" s="23">
        <v>18</v>
      </c>
      <c r="X311" s="24">
        <v>0</v>
      </c>
      <c r="Y311" s="20">
        <v>24</v>
      </c>
      <c r="Z311" s="19">
        <v>47</v>
      </c>
      <c r="AA311" s="23">
        <v>39</v>
      </c>
      <c r="AB311" s="24">
        <v>0</v>
      </c>
      <c r="AC311" s="23">
        <v>12</v>
      </c>
      <c r="AD311" s="24">
        <v>0</v>
      </c>
      <c r="AE311" s="23">
        <v>12</v>
      </c>
      <c r="AF311" s="24">
        <v>0</v>
      </c>
      <c r="AG311" s="23">
        <v>12</v>
      </c>
      <c r="AH311" s="24">
        <v>47</v>
      </c>
      <c r="AI311" s="23">
        <v>39</v>
      </c>
      <c r="AJ311" s="24">
        <v>42</v>
      </c>
      <c r="AK311" s="23">
        <v>38</v>
      </c>
      <c r="AL311" s="24">
        <v>5</v>
      </c>
      <c r="AM311" s="23">
        <v>8</v>
      </c>
      <c r="AN311" s="24">
        <v>0</v>
      </c>
      <c r="AO311" s="23">
        <v>12</v>
      </c>
      <c r="AP311" s="24">
        <v>0</v>
      </c>
      <c r="AQ311" s="23">
        <v>12</v>
      </c>
      <c r="AR311" s="24">
        <v>0</v>
      </c>
      <c r="AS311" s="20">
        <v>12</v>
      </c>
      <c r="AT311" s="19">
        <v>433</v>
      </c>
      <c r="AU311" s="23">
        <v>185</v>
      </c>
      <c r="AV311" s="24">
        <v>64</v>
      </c>
      <c r="AW311" s="23">
        <v>53</v>
      </c>
      <c r="AX311" s="24">
        <v>64</v>
      </c>
      <c r="AY311" s="23">
        <v>53</v>
      </c>
      <c r="AZ311" s="24">
        <v>0</v>
      </c>
      <c r="BA311" s="23">
        <v>12</v>
      </c>
      <c r="BB311" s="24">
        <v>304</v>
      </c>
      <c r="BC311" s="23">
        <v>129</v>
      </c>
      <c r="BD311" s="24">
        <v>284</v>
      </c>
      <c r="BE311" s="23">
        <v>122</v>
      </c>
      <c r="BF311" s="24">
        <v>20</v>
      </c>
      <c r="BG311" s="23">
        <v>26</v>
      </c>
      <c r="BH311" s="24">
        <v>65</v>
      </c>
      <c r="BI311" s="23">
        <v>56</v>
      </c>
      <c r="BJ311" s="24">
        <v>65</v>
      </c>
      <c r="BK311" s="23">
        <v>56</v>
      </c>
      <c r="BL311" s="24">
        <v>0</v>
      </c>
      <c r="BM311" s="20">
        <v>12</v>
      </c>
      <c r="BN311" s="19">
        <v>348</v>
      </c>
      <c r="BO311" s="23">
        <v>175</v>
      </c>
      <c r="BP311" s="24">
        <v>85</v>
      </c>
      <c r="BQ311" s="23">
        <v>94</v>
      </c>
      <c r="BR311" s="24">
        <v>85</v>
      </c>
      <c r="BS311" s="23">
        <v>94</v>
      </c>
      <c r="BT311" s="26">
        <v>0</v>
      </c>
      <c r="BU311" s="23">
        <v>12</v>
      </c>
      <c r="BV311" s="24">
        <v>165</v>
      </c>
      <c r="BW311" s="23">
        <v>93</v>
      </c>
      <c r="BX311" s="24">
        <v>158</v>
      </c>
      <c r="BY311" s="23">
        <v>92</v>
      </c>
      <c r="BZ311" s="24">
        <v>7</v>
      </c>
      <c r="CA311" s="23">
        <v>8</v>
      </c>
      <c r="CB311" s="24">
        <v>98</v>
      </c>
      <c r="CC311" s="23">
        <v>66</v>
      </c>
      <c r="CD311" s="24">
        <v>98</v>
      </c>
      <c r="CE311" s="23">
        <v>66</v>
      </c>
      <c r="CF311" s="24">
        <v>0</v>
      </c>
      <c r="CG311" s="20">
        <v>12</v>
      </c>
    </row>
    <row r="312" spans="1:85" x14ac:dyDescent="0.3">
      <c r="A312" t="s">
        <v>623</v>
      </c>
      <c r="B312">
        <v>21623</v>
      </c>
      <c r="C312" t="s">
        <v>624</v>
      </c>
      <c r="D312" s="19">
        <v>1760</v>
      </c>
      <c r="E312" s="20">
        <v>267</v>
      </c>
      <c r="F312" s="19">
        <v>279</v>
      </c>
      <c r="G312" s="23">
        <v>213</v>
      </c>
      <c r="H312" s="24">
        <v>119</v>
      </c>
      <c r="I312" s="23">
        <v>129</v>
      </c>
      <c r="J312" s="24">
        <v>119</v>
      </c>
      <c r="K312" s="23">
        <v>129</v>
      </c>
      <c r="L312" s="24">
        <v>0</v>
      </c>
      <c r="M312" s="23">
        <v>24</v>
      </c>
      <c r="N312" s="24">
        <v>118</v>
      </c>
      <c r="O312" s="23">
        <v>92</v>
      </c>
      <c r="P312" s="24">
        <v>83</v>
      </c>
      <c r="Q312" s="23">
        <v>67</v>
      </c>
      <c r="R312" s="24">
        <v>35</v>
      </c>
      <c r="S312" s="23">
        <v>45</v>
      </c>
      <c r="T312" s="24">
        <v>42</v>
      </c>
      <c r="U312" s="23">
        <v>38</v>
      </c>
      <c r="V312" s="24">
        <v>42</v>
      </c>
      <c r="W312" s="23">
        <v>38</v>
      </c>
      <c r="X312" s="24">
        <v>0</v>
      </c>
      <c r="Y312" s="20">
        <v>24</v>
      </c>
      <c r="Z312" s="19">
        <v>91</v>
      </c>
      <c r="AA312" s="23">
        <v>53</v>
      </c>
      <c r="AB312" s="24">
        <v>24</v>
      </c>
      <c r="AC312" s="23">
        <v>22</v>
      </c>
      <c r="AD312" s="24">
        <v>24</v>
      </c>
      <c r="AE312" s="23">
        <v>22</v>
      </c>
      <c r="AF312" s="24">
        <v>0</v>
      </c>
      <c r="AG312" s="23">
        <v>12</v>
      </c>
      <c r="AH312" s="24">
        <v>63</v>
      </c>
      <c r="AI312" s="23">
        <v>38</v>
      </c>
      <c r="AJ312" s="24">
        <v>45</v>
      </c>
      <c r="AK312" s="23">
        <v>33</v>
      </c>
      <c r="AL312" s="24">
        <v>18</v>
      </c>
      <c r="AM312" s="23">
        <v>17</v>
      </c>
      <c r="AN312" s="24">
        <v>4</v>
      </c>
      <c r="AO312" s="23">
        <v>5</v>
      </c>
      <c r="AP312" s="24">
        <v>4</v>
      </c>
      <c r="AQ312" s="23">
        <v>5</v>
      </c>
      <c r="AR312" s="24">
        <v>0</v>
      </c>
      <c r="AS312" s="20">
        <v>12</v>
      </c>
      <c r="AT312" s="19">
        <v>573</v>
      </c>
      <c r="AU312" s="23">
        <v>180</v>
      </c>
      <c r="AV312" s="24">
        <v>192</v>
      </c>
      <c r="AW312" s="23">
        <v>72</v>
      </c>
      <c r="AX312" s="24">
        <v>180</v>
      </c>
      <c r="AY312" s="23">
        <v>74</v>
      </c>
      <c r="AZ312" s="24">
        <v>12</v>
      </c>
      <c r="BA312" s="23">
        <v>15</v>
      </c>
      <c r="BB312" s="24">
        <v>290</v>
      </c>
      <c r="BC312" s="23">
        <v>97</v>
      </c>
      <c r="BD312" s="24">
        <v>258</v>
      </c>
      <c r="BE312" s="23">
        <v>95</v>
      </c>
      <c r="BF312" s="24">
        <v>32</v>
      </c>
      <c r="BG312" s="23">
        <v>34</v>
      </c>
      <c r="BH312" s="24">
        <v>91</v>
      </c>
      <c r="BI312" s="23">
        <v>56</v>
      </c>
      <c r="BJ312" s="24">
        <v>91</v>
      </c>
      <c r="BK312" s="23">
        <v>56</v>
      </c>
      <c r="BL312" s="24">
        <v>0</v>
      </c>
      <c r="BM312" s="20">
        <v>12</v>
      </c>
      <c r="BN312" s="19">
        <v>817</v>
      </c>
      <c r="BO312" s="23">
        <v>173</v>
      </c>
      <c r="BP312" s="24">
        <v>169</v>
      </c>
      <c r="BQ312" s="23">
        <v>69</v>
      </c>
      <c r="BR312" s="24">
        <v>169</v>
      </c>
      <c r="BS312" s="23">
        <v>69</v>
      </c>
      <c r="BT312" s="26">
        <v>0</v>
      </c>
      <c r="BU312" s="23">
        <v>12</v>
      </c>
      <c r="BV312" s="24">
        <v>502</v>
      </c>
      <c r="BW312" s="23">
        <v>126</v>
      </c>
      <c r="BX312" s="24">
        <v>492</v>
      </c>
      <c r="BY312" s="23">
        <v>127</v>
      </c>
      <c r="BZ312" s="24">
        <v>10</v>
      </c>
      <c r="CA312" s="23">
        <v>10</v>
      </c>
      <c r="CB312" s="24">
        <v>146</v>
      </c>
      <c r="CC312" s="23">
        <v>56</v>
      </c>
      <c r="CD312" s="24">
        <v>146</v>
      </c>
      <c r="CE312" s="23">
        <v>56</v>
      </c>
      <c r="CF312" s="24">
        <v>0</v>
      </c>
      <c r="CG312" s="20">
        <v>12</v>
      </c>
    </row>
    <row r="313" spans="1:85" x14ac:dyDescent="0.3">
      <c r="A313" t="s">
        <v>625</v>
      </c>
      <c r="B313">
        <v>21624</v>
      </c>
      <c r="C313" t="s">
        <v>626</v>
      </c>
      <c r="D313" s="19">
        <v>180</v>
      </c>
      <c r="E313" s="20">
        <v>109</v>
      </c>
      <c r="F313" s="19">
        <v>65</v>
      </c>
      <c r="G313" s="23">
        <v>111</v>
      </c>
      <c r="H313" s="24">
        <v>32</v>
      </c>
      <c r="I313" s="23">
        <v>60</v>
      </c>
      <c r="J313" s="24">
        <v>32</v>
      </c>
      <c r="K313" s="23">
        <v>60</v>
      </c>
      <c r="L313" s="24">
        <v>0</v>
      </c>
      <c r="M313" s="23">
        <v>24</v>
      </c>
      <c r="N313" s="24">
        <v>33</v>
      </c>
      <c r="O313" s="23">
        <v>65</v>
      </c>
      <c r="P313" s="24">
        <v>33</v>
      </c>
      <c r="Q313" s="23">
        <v>65</v>
      </c>
      <c r="R313" s="24">
        <v>0</v>
      </c>
      <c r="S313" s="23">
        <v>24</v>
      </c>
      <c r="T313" s="24">
        <v>0</v>
      </c>
      <c r="U313" s="23">
        <v>24</v>
      </c>
      <c r="V313" s="24">
        <v>0</v>
      </c>
      <c r="W313" s="23">
        <v>24</v>
      </c>
      <c r="X313" s="24">
        <v>0</v>
      </c>
      <c r="Y313" s="20">
        <v>24</v>
      </c>
      <c r="Z313" s="19">
        <v>0</v>
      </c>
      <c r="AA313" s="23">
        <v>12</v>
      </c>
      <c r="AB313" s="24">
        <v>0</v>
      </c>
      <c r="AC313" s="23">
        <v>12</v>
      </c>
      <c r="AD313" s="24">
        <v>0</v>
      </c>
      <c r="AE313" s="23">
        <v>12</v>
      </c>
      <c r="AF313" s="24">
        <v>0</v>
      </c>
      <c r="AG313" s="23">
        <v>12</v>
      </c>
      <c r="AH313" s="24">
        <v>0</v>
      </c>
      <c r="AI313" s="23">
        <v>12</v>
      </c>
      <c r="AJ313" s="24">
        <v>0</v>
      </c>
      <c r="AK313" s="23">
        <v>12</v>
      </c>
      <c r="AL313" s="24">
        <v>0</v>
      </c>
      <c r="AM313" s="23">
        <v>12</v>
      </c>
      <c r="AN313" s="24">
        <v>0</v>
      </c>
      <c r="AO313" s="23">
        <v>12</v>
      </c>
      <c r="AP313" s="24">
        <v>0</v>
      </c>
      <c r="AQ313" s="23">
        <v>12</v>
      </c>
      <c r="AR313" s="24">
        <v>0</v>
      </c>
      <c r="AS313" s="20">
        <v>12</v>
      </c>
      <c r="AT313" s="19">
        <v>64</v>
      </c>
      <c r="AU313" s="23">
        <v>49</v>
      </c>
      <c r="AV313" s="24">
        <v>5</v>
      </c>
      <c r="AW313" s="23">
        <v>8</v>
      </c>
      <c r="AX313" s="24">
        <v>5</v>
      </c>
      <c r="AY313" s="23">
        <v>8</v>
      </c>
      <c r="AZ313" s="24">
        <v>0</v>
      </c>
      <c r="BA313" s="23">
        <v>12</v>
      </c>
      <c r="BB313" s="24">
        <v>19</v>
      </c>
      <c r="BC313" s="23">
        <v>22</v>
      </c>
      <c r="BD313" s="24">
        <v>12</v>
      </c>
      <c r="BE313" s="23">
        <v>13</v>
      </c>
      <c r="BF313" s="24">
        <v>7</v>
      </c>
      <c r="BG313" s="23">
        <v>10</v>
      </c>
      <c r="BH313" s="24">
        <v>40</v>
      </c>
      <c r="BI313" s="23">
        <v>28</v>
      </c>
      <c r="BJ313" s="24">
        <v>40</v>
      </c>
      <c r="BK313" s="23">
        <v>28</v>
      </c>
      <c r="BL313" s="24">
        <v>0</v>
      </c>
      <c r="BM313" s="20">
        <v>12</v>
      </c>
      <c r="BN313" s="19">
        <v>51</v>
      </c>
      <c r="BO313" s="23">
        <v>35</v>
      </c>
      <c r="BP313" s="24">
        <v>0</v>
      </c>
      <c r="BQ313" s="23">
        <v>12</v>
      </c>
      <c r="BR313" s="24">
        <v>0</v>
      </c>
      <c r="BS313" s="23">
        <v>12</v>
      </c>
      <c r="BT313" s="26">
        <v>0</v>
      </c>
      <c r="BU313" s="23">
        <v>12</v>
      </c>
      <c r="BV313" s="24">
        <v>42</v>
      </c>
      <c r="BW313" s="23">
        <v>27</v>
      </c>
      <c r="BX313" s="24">
        <v>42</v>
      </c>
      <c r="BY313" s="23">
        <v>27</v>
      </c>
      <c r="BZ313" s="24">
        <v>0</v>
      </c>
      <c r="CA313" s="23">
        <v>12</v>
      </c>
      <c r="CB313" s="24">
        <v>9</v>
      </c>
      <c r="CC313" s="23">
        <v>12</v>
      </c>
      <c r="CD313" s="24">
        <v>9</v>
      </c>
      <c r="CE313" s="23">
        <v>12</v>
      </c>
      <c r="CF313" s="24">
        <v>0</v>
      </c>
      <c r="CG313" s="20">
        <v>12</v>
      </c>
    </row>
    <row r="314" spans="1:85" x14ac:dyDescent="0.3">
      <c r="A314" t="s">
        <v>627</v>
      </c>
      <c r="B314">
        <v>21625</v>
      </c>
      <c r="C314" t="s">
        <v>628</v>
      </c>
      <c r="D314" s="19">
        <v>2736</v>
      </c>
      <c r="E314" s="20">
        <v>388</v>
      </c>
      <c r="F314" s="19">
        <v>338</v>
      </c>
      <c r="G314" s="23">
        <v>317</v>
      </c>
      <c r="H314" s="24">
        <v>159</v>
      </c>
      <c r="I314" s="23">
        <v>213</v>
      </c>
      <c r="J314" s="24">
        <v>159</v>
      </c>
      <c r="K314" s="23">
        <v>213</v>
      </c>
      <c r="L314" s="24">
        <v>0</v>
      </c>
      <c r="M314" s="23">
        <v>24</v>
      </c>
      <c r="N314" s="24">
        <v>113</v>
      </c>
      <c r="O314" s="23">
        <v>107</v>
      </c>
      <c r="P314" s="24">
        <v>113</v>
      </c>
      <c r="Q314" s="23">
        <v>107</v>
      </c>
      <c r="R314" s="24">
        <v>0</v>
      </c>
      <c r="S314" s="23">
        <v>24</v>
      </c>
      <c r="T314" s="24">
        <v>66</v>
      </c>
      <c r="U314" s="23">
        <v>65</v>
      </c>
      <c r="V314" s="24">
        <v>66</v>
      </c>
      <c r="W314" s="23">
        <v>65</v>
      </c>
      <c r="X314" s="24">
        <v>0</v>
      </c>
      <c r="Y314" s="20">
        <v>24</v>
      </c>
      <c r="Z314" s="19">
        <v>73</v>
      </c>
      <c r="AA314" s="23">
        <v>66</v>
      </c>
      <c r="AB314" s="24">
        <v>18</v>
      </c>
      <c r="AC314" s="23">
        <v>27</v>
      </c>
      <c r="AD314" s="24">
        <v>18</v>
      </c>
      <c r="AE314" s="23">
        <v>27</v>
      </c>
      <c r="AF314" s="24">
        <v>0</v>
      </c>
      <c r="AG314" s="23">
        <v>12</v>
      </c>
      <c r="AH314" s="24">
        <v>19</v>
      </c>
      <c r="AI314" s="23">
        <v>30</v>
      </c>
      <c r="AJ314" s="24">
        <v>19</v>
      </c>
      <c r="AK314" s="23">
        <v>30</v>
      </c>
      <c r="AL314" s="24">
        <v>0</v>
      </c>
      <c r="AM314" s="23">
        <v>12</v>
      </c>
      <c r="AN314" s="24">
        <v>36</v>
      </c>
      <c r="AO314" s="23">
        <v>33</v>
      </c>
      <c r="AP314" s="24">
        <v>36</v>
      </c>
      <c r="AQ314" s="23">
        <v>33</v>
      </c>
      <c r="AR314" s="24">
        <v>0</v>
      </c>
      <c r="AS314" s="20">
        <v>12</v>
      </c>
      <c r="AT314" s="19">
        <v>795</v>
      </c>
      <c r="AU314" s="23">
        <v>276</v>
      </c>
      <c r="AV314" s="24">
        <v>258</v>
      </c>
      <c r="AW314" s="23">
        <v>151</v>
      </c>
      <c r="AX314" s="24">
        <v>258</v>
      </c>
      <c r="AY314" s="23">
        <v>151</v>
      </c>
      <c r="AZ314" s="24">
        <v>0</v>
      </c>
      <c r="BA314" s="23">
        <v>12</v>
      </c>
      <c r="BB314" s="24">
        <v>416</v>
      </c>
      <c r="BC314" s="23">
        <v>134</v>
      </c>
      <c r="BD314" s="24">
        <v>348</v>
      </c>
      <c r="BE314" s="23">
        <v>123</v>
      </c>
      <c r="BF314" s="24">
        <v>68</v>
      </c>
      <c r="BG314" s="23">
        <v>63</v>
      </c>
      <c r="BH314" s="24">
        <v>121</v>
      </c>
      <c r="BI314" s="23">
        <v>67</v>
      </c>
      <c r="BJ314" s="24">
        <v>121</v>
      </c>
      <c r="BK314" s="23">
        <v>67</v>
      </c>
      <c r="BL314" s="24">
        <v>0</v>
      </c>
      <c r="BM314" s="20">
        <v>12</v>
      </c>
      <c r="BN314" s="19">
        <v>1530</v>
      </c>
      <c r="BO314" s="23">
        <v>341</v>
      </c>
      <c r="BP314" s="24">
        <v>385</v>
      </c>
      <c r="BQ314" s="23">
        <v>151</v>
      </c>
      <c r="BR314" s="24">
        <v>381</v>
      </c>
      <c r="BS314" s="23">
        <v>151</v>
      </c>
      <c r="BT314" s="26">
        <v>4</v>
      </c>
      <c r="BU314" s="23">
        <v>7</v>
      </c>
      <c r="BV314" s="24">
        <v>1001</v>
      </c>
      <c r="BW314" s="23">
        <v>221</v>
      </c>
      <c r="BX314" s="24">
        <v>994</v>
      </c>
      <c r="BY314" s="23">
        <v>222</v>
      </c>
      <c r="BZ314" s="24">
        <v>7</v>
      </c>
      <c r="CA314" s="23">
        <v>12</v>
      </c>
      <c r="CB314" s="24">
        <v>144</v>
      </c>
      <c r="CC314" s="23">
        <v>70</v>
      </c>
      <c r="CD314" s="24">
        <v>144</v>
      </c>
      <c r="CE314" s="23">
        <v>70</v>
      </c>
      <c r="CF314" s="24">
        <v>0</v>
      </c>
      <c r="CG314" s="20">
        <v>12</v>
      </c>
    </row>
    <row r="315" spans="1:85" x14ac:dyDescent="0.3">
      <c r="A315" t="s">
        <v>629</v>
      </c>
      <c r="B315">
        <v>21626</v>
      </c>
      <c r="C315" t="s">
        <v>630</v>
      </c>
      <c r="D315" s="19">
        <v>124</v>
      </c>
      <c r="E315" s="20">
        <v>69</v>
      </c>
      <c r="F315" s="19">
        <v>21</v>
      </c>
      <c r="G315" s="23">
        <v>27</v>
      </c>
      <c r="H315" s="24">
        <v>0</v>
      </c>
      <c r="I315" s="23">
        <v>24</v>
      </c>
      <c r="J315" s="24">
        <v>0</v>
      </c>
      <c r="K315" s="23">
        <v>24</v>
      </c>
      <c r="L315" s="24">
        <v>0</v>
      </c>
      <c r="M315" s="23">
        <v>24</v>
      </c>
      <c r="N315" s="24">
        <v>21</v>
      </c>
      <c r="O315" s="23">
        <v>27</v>
      </c>
      <c r="P315" s="24">
        <v>21</v>
      </c>
      <c r="Q315" s="23">
        <v>27</v>
      </c>
      <c r="R315" s="24">
        <v>0</v>
      </c>
      <c r="S315" s="23">
        <v>24</v>
      </c>
      <c r="T315" s="24">
        <v>0</v>
      </c>
      <c r="U315" s="23">
        <v>24</v>
      </c>
      <c r="V315" s="24">
        <v>0</v>
      </c>
      <c r="W315" s="23">
        <v>24</v>
      </c>
      <c r="X315" s="24">
        <v>0</v>
      </c>
      <c r="Y315" s="20">
        <v>24</v>
      </c>
      <c r="Z315" s="19">
        <v>0</v>
      </c>
      <c r="AA315" s="23">
        <v>12</v>
      </c>
      <c r="AB315" s="24">
        <v>0</v>
      </c>
      <c r="AC315" s="23">
        <v>12</v>
      </c>
      <c r="AD315" s="24">
        <v>0</v>
      </c>
      <c r="AE315" s="23">
        <v>12</v>
      </c>
      <c r="AF315" s="24">
        <v>0</v>
      </c>
      <c r="AG315" s="23">
        <v>12</v>
      </c>
      <c r="AH315" s="24">
        <v>0</v>
      </c>
      <c r="AI315" s="23">
        <v>12</v>
      </c>
      <c r="AJ315" s="24">
        <v>0</v>
      </c>
      <c r="AK315" s="23">
        <v>12</v>
      </c>
      <c r="AL315" s="24">
        <v>0</v>
      </c>
      <c r="AM315" s="23">
        <v>12</v>
      </c>
      <c r="AN315" s="24">
        <v>0</v>
      </c>
      <c r="AO315" s="23">
        <v>12</v>
      </c>
      <c r="AP315" s="24">
        <v>0</v>
      </c>
      <c r="AQ315" s="23">
        <v>12</v>
      </c>
      <c r="AR315" s="24">
        <v>0</v>
      </c>
      <c r="AS315" s="20">
        <v>12</v>
      </c>
      <c r="AT315" s="19">
        <v>52</v>
      </c>
      <c r="AU315" s="23">
        <v>36</v>
      </c>
      <c r="AV315" s="24">
        <v>0</v>
      </c>
      <c r="AW315" s="23">
        <v>12</v>
      </c>
      <c r="AX315" s="24">
        <v>0</v>
      </c>
      <c r="AY315" s="23">
        <v>12</v>
      </c>
      <c r="AZ315" s="24">
        <v>0</v>
      </c>
      <c r="BA315" s="23">
        <v>12</v>
      </c>
      <c r="BB315" s="24">
        <v>28</v>
      </c>
      <c r="BC315" s="23">
        <v>25</v>
      </c>
      <c r="BD315" s="24">
        <v>28</v>
      </c>
      <c r="BE315" s="23">
        <v>25</v>
      </c>
      <c r="BF315" s="24">
        <v>0</v>
      </c>
      <c r="BG315" s="23">
        <v>12</v>
      </c>
      <c r="BH315" s="24">
        <v>24</v>
      </c>
      <c r="BI315" s="23">
        <v>20</v>
      </c>
      <c r="BJ315" s="24">
        <v>24</v>
      </c>
      <c r="BK315" s="23">
        <v>20</v>
      </c>
      <c r="BL315" s="24">
        <v>0</v>
      </c>
      <c r="BM315" s="20">
        <v>12</v>
      </c>
      <c r="BN315" s="19">
        <v>51</v>
      </c>
      <c r="BO315" s="23">
        <v>48</v>
      </c>
      <c r="BP315" s="24">
        <v>0</v>
      </c>
      <c r="BQ315" s="23">
        <v>12</v>
      </c>
      <c r="BR315" s="24">
        <v>0</v>
      </c>
      <c r="BS315" s="23">
        <v>12</v>
      </c>
      <c r="BT315" s="26">
        <v>0</v>
      </c>
      <c r="BU315" s="23">
        <v>12</v>
      </c>
      <c r="BV315" s="24">
        <v>51</v>
      </c>
      <c r="BW315" s="23">
        <v>48</v>
      </c>
      <c r="BX315" s="24">
        <v>51</v>
      </c>
      <c r="BY315" s="23">
        <v>48</v>
      </c>
      <c r="BZ315" s="24">
        <v>0</v>
      </c>
      <c r="CA315" s="23">
        <v>12</v>
      </c>
      <c r="CB315" s="24">
        <v>0</v>
      </c>
      <c r="CC315" s="23">
        <v>12</v>
      </c>
      <c r="CD315" s="24">
        <v>0</v>
      </c>
      <c r="CE315" s="23">
        <v>12</v>
      </c>
      <c r="CF315" s="24">
        <v>0</v>
      </c>
      <c r="CG315" s="20">
        <v>12</v>
      </c>
    </row>
    <row r="316" spans="1:85" x14ac:dyDescent="0.3">
      <c r="A316" t="s">
        <v>631</v>
      </c>
      <c r="B316">
        <v>21627</v>
      </c>
      <c r="C316" t="s">
        <v>632</v>
      </c>
      <c r="D316" s="19">
        <v>21</v>
      </c>
      <c r="E316" s="20">
        <v>22</v>
      </c>
      <c r="F316" s="19">
        <v>10</v>
      </c>
      <c r="G316" s="23">
        <v>25</v>
      </c>
      <c r="H316" s="24">
        <v>0</v>
      </c>
      <c r="I316" s="23">
        <v>24</v>
      </c>
      <c r="J316" s="24">
        <v>0</v>
      </c>
      <c r="K316" s="23">
        <v>24</v>
      </c>
      <c r="L316" s="24">
        <v>0</v>
      </c>
      <c r="M316" s="23">
        <v>24</v>
      </c>
      <c r="N316" s="24">
        <v>0</v>
      </c>
      <c r="O316" s="23">
        <v>24</v>
      </c>
      <c r="P316" s="24">
        <v>0</v>
      </c>
      <c r="Q316" s="23">
        <v>24</v>
      </c>
      <c r="R316" s="24">
        <v>0</v>
      </c>
      <c r="S316" s="23">
        <v>24</v>
      </c>
      <c r="T316" s="24">
        <v>10</v>
      </c>
      <c r="U316" s="23">
        <v>25</v>
      </c>
      <c r="V316" s="24">
        <v>10</v>
      </c>
      <c r="W316" s="23">
        <v>25</v>
      </c>
      <c r="X316" s="24">
        <v>0</v>
      </c>
      <c r="Y316" s="20">
        <v>24</v>
      </c>
      <c r="Z316" s="19">
        <v>0</v>
      </c>
      <c r="AA316" s="23">
        <v>12</v>
      </c>
      <c r="AB316" s="24">
        <v>0</v>
      </c>
      <c r="AC316" s="23">
        <v>12</v>
      </c>
      <c r="AD316" s="24">
        <v>0</v>
      </c>
      <c r="AE316" s="23">
        <v>12</v>
      </c>
      <c r="AF316" s="24">
        <v>0</v>
      </c>
      <c r="AG316" s="23">
        <v>12</v>
      </c>
      <c r="AH316" s="24">
        <v>0</v>
      </c>
      <c r="AI316" s="23">
        <v>12</v>
      </c>
      <c r="AJ316" s="24">
        <v>0</v>
      </c>
      <c r="AK316" s="23">
        <v>12</v>
      </c>
      <c r="AL316" s="24">
        <v>0</v>
      </c>
      <c r="AM316" s="23">
        <v>12</v>
      </c>
      <c r="AN316" s="24">
        <v>0</v>
      </c>
      <c r="AO316" s="23">
        <v>12</v>
      </c>
      <c r="AP316" s="24">
        <v>0</v>
      </c>
      <c r="AQ316" s="23">
        <v>12</v>
      </c>
      <c r="AR316" s="24">
        <v>0</v>
      </c>
      <c r="AS316" s="20">
        <v>12</v>
      </c>
      <c r="AT316" s="19">
        <v>0</v>
      </c>
      <c r="AU316" s="23">
        <v>12</v>
      </c>
      <c r="AV316" s="24">
        <v>0</v>
      </c>
      <c r="AW316" s="23">
        <v>12</v>
      </c>
      <c r="AX316" s="24">
        <v>0</v>
      </c>
      <c r="AY316" s="23">
        <v>12</v>
      </c>
      <c r="AZ316" s="24">
        <v>0</v>
      </c>
      <c r="BA316" s="23">
        <v>12</v>
      </c>
      <c r="BB316" s="24">
        <v>0</v>
      </c>
      <c r="BC316" s="23">
        <v>12</v>
      </c>
      <c r="BD316" s="24">
        <v>0</v>
      </c>
      <c r="BE316" s="23">
        <v>12</v>
      </c>
      <c r="BF316" s="24">
        <v>0</v>
      </c>
      <c r="BG316" s="23">
        <v>12</v>
      </c>
      <c r="BH316" s="24">
        <v>0</v>
      </c>
      <c r="BI316" s="23">
        <v>12</v>
      </c>
      <c r="BJ316" s="24">
        <v>0</v>
      </c>
      <c r="BK316" s="23">
        <v>12</v>
      </c>
      <c r="BL316" s="24">
        <v>0</v>
      </c>
      <c r="BM316" s="20">
        <v>12</v>
      </c>
      <c r="BN316" s="19">
        <v>11</v>
      </c>
      <c r="BO316" s="23">
        <v>17</v>
      </c>
      <c r="BP316" s="24">
        <v>0</v>
      </c>
      <c r="BQ316" s="23">
        <v>12</v>
      </c>
      <c r="BR316" s="24">
        <v>0</v>
      </c>
      <c r="BS316" s="23">
        <v>12</v>
      </c>
      <c r="BT316" s="26">
        <v>0</v>
      </c>
      <c r="BU316" s="23">
        <v>12</v>
      </c>
      <c r="BV316" s="24">
        <v>0</v>
      </c>
      <c r="BW316" s="23">
        <v>12</v>
      </c>
      <c r="BX316" s="24">
        <v>0</v>
      </c>
      <c r="BY316" s="23">
        <v>12</v>
      </c>
      <c r="BZ316" s="24">
        <v>0</v>
      </c>
      <c r="CA316" s="23">
        <v>12</v>
      </c>
      <c r="CB316" s="24">
        <v>11</v>
      </c>
      <c r="CC316" s="23">
        <v>17</v>
      </c>
      <c r="CD316" s="24">
        <v>11</v>
      </c>
      <c r="CE316" s="23">
        <v>17</v>
      </c>
      <c r="CF316" s="24">
        <v>0</v>
      </c>
      <c r="CG316" s="20">
        <v>12</v>
      </c>
    </row>
    <row r="317" spans="1:85" x14ac:dyDescent="0.3">
      <c r="A317" t="s">
        <v>633</v>
      </c>
      <c r="B317">
        <v>21628</v>
      </c>
      <c r="C317" t="s">
        <v>634</v>
      </c>
      <c r="D317" s="19">
        <v>750</v>
      </c>
      <c r="E317" s="20">
        <v>351</v>
      </c>
      <c r="F317" s="19">
        <v>276</v>
      </c>
      <c r="G317" s="23">
        <v>322</v>
      </c>
      <c r="H317" s="24">
        <v>81</v>
      </c>
      <c r="I317" s="23">
        <v>131</v>
      </c>
      <c r="J317" s="24">
        <v>81</v>
      </c>
      <c r="K317" s="23">
        <v>131</v>
      </c>
      <c r="L317" s="24">
        <v>0</v>
      </c>
      <c r="M317" s="23">
        <v>24</v>
      </c>
      <c r="N317" s="24">
        <v>136</v>
      </c>
      <c r="O317" s="23">
        <v>173</v>
      </c>
      <c r="P317" s="24">
        <v>136</v>
      </c>
      <c r="Q317" s="23">
        <v>173</v>
      </c>
      <c r="R317" s="24">
        <v>0</v>
      </c>
      <c r="S317" s="23">
        <v>24</v>
      </c>
      <c r="T317" s="24">
        <v>59</v>
      </c>
      <c r="U317" s="23">
        <v>77</v>
      </c>
      <c r="V317" s="24">
        <v>59</v>
      </c>
      <c r="W317" s="23">
        <v>77</v>
      </c>
      <c r="X317" s="24">
        <v>0</v>
      </c>
      <c r="Y317" s="20">
        <v>24</v>
      </c>
      <c r="Z317" s="19">
        <v>72</v>
      </c>
      <c r="AA317" s="23">
        <v>77</v>
      </c>
      <c r="AB317" s="24">
        <v>0</v>
      </c>
      <c r="AC317" s="23">
        <v>12</v>
      </c>
      <c r="AD317" s="24">
        <v>0</v>
      </c>
      <c r="AE317" s="23">
        <v>12</v>
      </c>
      <c r="AF317" s="24">
        <v>0</v>
      </c>
      <c r="AG317" s="23">
        <v>12</v>
      </c>
      <c r="AH317" s="24">
        <v>65</v>
      </c>
      <c r="AI317" s="23">
        <v>77</v>
      </c>
      <c r="AJ317" s="24">
        <v>10</v>
      </c>
      <c r="AK317" s="23">
        <v>15</v>
      </c>
      <c r="AL317" s="24">
        <v>55</v>
      </c>
      <c r="AM317" s="23">
        <v>76</v>
      </c>
      <c r="AN317" s="24">
        <v>7</v>
      </c>
      <c r="AO317" s="23">
        <v>11</v>
      </c>
      <c r="AP317" s="24">
        <v>7</v>
      </c>
      <c r="AQ317" s="23">
        <v>11</v>
      </c>
      <c r="AR317" s="24">
        <v>0</v>
      </c>
      <c r="AS317" s="20">
        <v>12</v>
      </c>
      <c r="AT317" s="19">
        <v>194</v>
      </c>
      <c r="AU317" s="23">
        <v>106</v>
      </c>
      <c r="AV317" s="24">
        <v>30</v>
      </c>
      <c r="AW317" s="23">
        <v>33</v>
      </c>
      <c r="AX317" s="24">
        <v>30</v>
      </c>
      <c r="AY317" s="23">
        <v>33</v>
      </c>
      <c r="AZ317" s="24">
        <v>0</v>
      </c>
      <c r="BA317" s="23">
        <v>12</v>
      </c>
      <c r="BB317" s="24">
        <v>164</v>
      </c>
      <c r="BC317" s="23">
        <v>89</v>
      </c>
      <c r="BD317" s="24">
        <v>126</v>
      </c>
      <c r="BE317" s="23">
        <v>78</v>
      </c>
      <c r="BF317" s="24">
        <v>38</v>
      </c>
      <c r="BG317" s="23">
        <v>46</v>
      </c>
      <c r="BH317" s="24">
        <v>0</v>
      </c>
      <c r="BI317" s="23">
        <v>12</v>
      </c>
      <c r="BJ317" s="24">
        <v>0</v>
      </c>
      <c r="BK317" s="23">
        <v>12</v>
      </c>
      <c r="BL317" s="24">
        <v>0</v>
      </c>
      <c r="BM317" s="20">
        <v>12</v>
      </c>
      <c r="BN317" s="19">
        <v>208</v>
      </c>
      <c r="BO317" s="23">
        <v>166</v>
      </c>
      <c r="BP317" s="24">
        <v>39</v>
      </c>
      <c r="BQ317" s="23">
        <v>48</v>
      </c>
      <c r="BR317" s="24">
        <v>39</v>
      </c>
      <c r="BS317" s="23">
        <v>48</v>
      </c>
      <c r="BT317" s="26">
        <v>0</v>
      </c>
      <c r="BU317" s="23">
        <v>12</v>
      </c>
      <c r="BV317" s="24">
        <v>140</v>
      </c>
      <c r="BW317" s="23">
        <v>132</v>
      </c>
      <c r="BX317" s="24">
        <v>140</v>
      </c>
      <c r="BY317" s="23">
        <v>132</v>
      </c>
      <c r="BZ317" s="24">
        <v>0</v>
      </c>
      <c r="CA317" s="23">
        <v>12</v>
      </c>
      <c r="CB317" s="24">
        <v>29</v>
      </c>
      <c r="CC317" s="23">
        <v>36</v>
      </c>
      <c r="CD317" s="24">
        <v>29</v>
      </c>
      <c r="CE317" s="23">
        <v>36</v>
      </c>
      <c r="CF317" s="24">
        <v>0</v>
      </c>
      <c r="CG317" s="20">
        <v>12</v>
      </c>
    </row>
    <row r="318" spans="1:85" x14ac:dyDescent="0.3">
      <c r="A318" t="s">
        <v>635</v>
      </c>
      <c r="B318">
        <v>21629</v>
      </c>
      <c r="C318" t="s">
        <v>636</v>
      </c>
      <c r="D318" s="19">
        <v>9264</v>
      </c>
      <c r="E318" s="20">
        <v>391</v>
      </c>
      <c r="F318" s="19">
        <v>1781</v>
      </c>
      <c r="G318" s="23">
        <v>561</v>
      </c>
      <c r="H318" s="24">
        <v>722</v>
      </c>
      <c r="I318" s="23">
        <v>301</v>
      </c>
      <c r="J318" s="24">
        <v>722</v>
      </c>
      <c r="K318" s="23">
        <v>301</v>
      </c>
      <c r="L318" s="24">
        <v>0</v>
      </c>
      <c r="M318" s="23">
        <v>34</v>
      </c>
      <c r="N318" s="24">
        <v>912</v>
      </c>
      <c r="O318" s="23">
        <v>293</v>
      </c>
      <c r="P318" s="24">
        <v>788</v>
      </c>
      <c r="Q318" s="23">
        <v>270</v>
      </c>
      <c r="R318" s="24">
        <v>124</v>
      </c>
      <c r="S318" s="23">
        <v>110</v>
      </c>
      <c r="T318" s="24">
        <v>147</v>
      </c>
      <c r="U318" s="23">
        <v>80</v>
      </c>
      <c r="V318" s="24">
        <v>147</v>
      </c>
      <c r="W318" s="23">
        <v>80</v>
      </c>
      <c r="X318" s="24">
        <v>0</v>
      </c>
      <c r="Y318" s="20">
        <v>34</v>
      </c>
      <c r="Z318" s="19">
        <v>840</v>
      </c>
      <c r="AA318" s="23">
        <v>314</v>
      </c>
      <c r="AB318" s="24">
        <v>358</v>
      </c>
      <c r="AC318" s="23">
        <v>218</v>
      </c>
      <c r="AD318" s="24">
        <v>358</v>
      </c>
      <c r="AE318" s="23">
        <v>218</v>
      </c>
      <c r="AF318" s="24">
        <v>0</v>
      </c>
      <c r="AG318" s="23">
        <v>17</v>
      </c>
      <c r="AH318" s="24">
        <v>346</v>
      </c>
      <c r="AI318" s="23">
        <v>112</v>
      </c>
      <c r="AJ318" s="24">
        <v>277</v>
      </c>
      <c r="AK318" s="23">
        <v>108</v>
      </c>
      <c r="AL318" s="24">
        <v>69</v>
      </c>
      <c r="AM318" s="23">
        <v>64</v>
      </c>
      <c r="AN318" s="24">
        <v>136</v>
      </c>
      <c r="AO318" s="23">
        <v>61</v>
      </c>
      <c r="AP318" s="24">
        <v>136</v>
      </c>
      <c r="AQ318" s="23">
        <v>61</v>
      </c>
      <c r="AR318" s="24">
        <v>0</v>
      </c>
      <c r="AS318" s="20">
        <v>17</v>
      </c>
      <c r="AT318" s="19">
        <v>3162</v>
      </c>
      <c r="AU318" s="23">
        <v>541</v>
      </c>
      <c r="AV318" s="24">
        <v>813</v>
      </c>
      <c r="AW318" s="23">
        <v>232</v>
      </c>
      <c r="AX318" s="24">
        <v>765</v>
      </c>
      <c r="AY318" s="23">
        <v>216</v>
      </c>
      <c r="AZ318" s="24">
        <v>48</v>
      </c>
      <c r="BA318" s="23">
        <v>50</v>
      </c>
      <c r="BB318" s="24">
        <v>1916</v>
      </c>
      <c r="BC318" s="23">
        <v>381</v>
      </c>
      <c r="BD318" s="24">
        <v>1584</v>
      </c>
      <c r="BE318" s="23">
        <v>307</v>
      </c>
      <c r="BF318" s="24">
        <v>332</v>
      </c>
      <c r="BG318" s="23">
        <v>149</v>
      </c>
      <c r="BH318" s="24">
        <v>433</v>
      </c>
      <c r="BI318" s="23">
        <v>118</v>
      </c>
      <c r="BJ318" s="24">
        <v>429</v>
      </c>
      <c r="BK318" s="23">
        <v>118</v>
      </c>
      <c r="BL318" s="24">
        <v>4</v>
      </c>
      <c r="BM318" s="20">
        <v>7</v>
      </c>
      <c r="BN318" s="19">
        <v>3481</v>
      </c>
      <c r="BO318" s="23">
        <v>415</v>
      </c>
      <c r="BP318" s="24">
        <v>507</v>
      </c>
      <c r="BQ318" s="23">
        <v>172</v>
      </c>
      <c r="BR318" s="24">
        <v>494</v>
      </c>
      <c r="BS318" s="23">
        <v>168</v>
      </c>
      <c r="BT318" s="26">
        <v>13</v>
      </c>
      <c r="BU318" s="23">
        <v>20</v>
      </c>
      <c r="BV318" s="24">
        <v>2393</v>
      </c>
      <c r="BW318" s="23">
        <v>283</v>
      </c>
      <c r="BX318" s="24">
        <v>2257</v>
      </c>
      <c r="BY318" s="23">
        <v>277</v>
      </c>
      <c r="BZ318" s="24">
        <v>136</v>
      </c>
      <c r="CA318" s="23">
        <v>80</v>
      </c>
      <c r="CB318" s="24">
        <v>581</v>
      </c>
      <c r="CC318" s="23">
        <v>121</v>
      </c>
      <c r="CD318" s="24">
        <v>581</v>
      </c>
      <c r="CE318" s="23">
        <v>121</v>
      </c>
      <c r="CF318" s="24">
        <v>0</v>
      </c>
      <c r="CG318" s="20">
        <v>17</v>
      </c>
    </row>
    <row r="319" spans="1:85" x14ac:dyDescent="0.3">
      <c r="A319" t="s">
        <v>637</v>
      </c>
      <c r="B319">
        <v>21631</v>
      </c>
      <c r="C319" t="s">
        <v>638</v>
      </c>
      <c r="D319" s="19">
        <v>2288</v>
      </c>
      <c r="E319" s="20">
        <v>361</v>
      </c>
      <c r="F319" s="19">
        <v>232</v>
      </c>
      <c r="G319" s="23">
        <v>177</v>
      </c>
      <c r="H319" s="24">
        <v>62</v>
      </c>
      <c r="I319" s="23">
        <v>74</v>
      </c>
      <c r="J319" s="24">
        <v>62</v>
      </c>
      <c r="K319" s="23">
        <v>74</v>
      </c>
      <c r="L319" s="24">
        <v>0</v>
      </c>
      <c r="M319" s="23">
        <v>24</v>
      </c>
      <c r="N319" s="24">
        <v>156</v>
      </c>
      <c r="O319" s="23">
        <v>116</v>
      </c>
      <c r="P319" s="24">
        <v>141</v>
      </c>
      <c r="Q319" s="23">
        <v>113</v>
      </c>
      <c r="R319" s="24">
        <v>15</v>
      </c>
      <c r="S319" s="23">
        <v>23</v>
      </c>
      <c r="T319" s="24">
        <v>14</v>
      </c>
      <c r="U319" s="23">
        <v>22</v>
      </c>
      <c r="V319" s="24">
        <v>14</v>
      </c>
      <c r="W319" s="23">
        <v>22</v>
      </c>
      <c r="X319" s="24">
        <v>0</v>
      </c>
      <c r="Y319" s="20">
        <v>24</v>
      </c>
      <c r="Z319" s="19">
        <v>448</v>
      </c>
      <c r="AA319" s="23">
        <v>281</v>
      </c>
      <c r="AB319" s="24">
        <v>155</v>
      </c>
      <c r="AC319" s="23">
        <v>186</v>
      </c>
      <c r="AD319" s="24">
        <v>155</v>
      </c>
      <c r="AE319" s="23">
        <v>186</v>
      </c>
      <c r="AF319" s="24">
        <v>0</v>
      </c>
      <c r="AG319" s="23">
        <v>12</v>
      </c>
      <c r="AH319" s="24">
        <v>157</v>
      </c>
      <c r="AI319" s="23">
        <v>113</v>
      </c>
      <c r="AJ319" s="24">
        <v>157</v>
      </c>
      <c r="AK319" s="23">
        <v>113</v>
      </c>
      <c r="AL319" s="24">
        <v>0</v>
      </c>
      <c r="AM319" s="23">
        <v>12</v>
      </c>
      <c r="AN319" s="24">
        <v>136</v>
      </c>
      <c r="AO319" s="23">
        <v>73</v>
      </c>
      <c r="AP319" s="24">
        <v>136</v>
      </c>
      <c r="AQ319" s="23">
        <v>73</v>
      </c>
      <c r="AR319" s="24">
        <v>0</v>
      </c>
      <c r="AS319" s="20">
        <v>12</v>
      </c>
      <c r="AT319" s="19">
        <v>709</v>
      </c>
      <c r="AU319" s="23">
        <v>219</v>
      </c>
      <c r="AV319" s="24">
        <v>172</v>
      </c>
      <c r="AW319" s="23">
        <v>76</v>
      </c>
      <c r="AX319" s="24">
        <v>172</v>
      </c>
      <c r="AY319" s="23">
        <v>76</v>
      </c>
      <c r="AZ319" s="24">
        <v>0</v>
      </c>
      <c r="BA319" s="23">
        <v>12</v>
      </c>
      <c r="BB319" s="24">
        <v>330</v>
      </c>
      <c r="BC319" s="23">
        <v>126</v>
      </c>
      <c r="BD319" s="24">
        <v>320</v>
      </c>
      <c r="BE319" s="23">
        <v>128</v>
      </c>
      <c r="BF319" s="24">
        <v>10</v>
      </c>
      <c r="BG319" s="23">
        <v>13</v>
      </c>
      <c r="BH319" s="24">
        <v>207</v>
      </c>
      <c r="BI319" s="23">
        <v>86</v>
      </c>
      <c r="BJ319" s="24">
        <v>207</v>
      </c>
      <c r="BK319" s="23">
        <v>86</v>
      </c>
      <c r="BL319" s="24">
        <v>0</v>
      </c>
      <c r="BM319" s="20">
        <v>12</v>
      </c>
      <c r="BN319" s="19">
        <v>899</v>
      </c>
      <c r="BO319" s="23">
        <v>197</v>
      </c>
      <c r="BP319" s="24">
        <v>95</v>
      </c>
      <c r="BQ319" s="23">
        <v>47</v>
      </c>
      <c r="BR319" s="24">
        <v>95</v>
      </c>
      <c r="BS319" s="23">
        <v>47</v>
      </c>
      <c r="BT319" s="26">
        <v>0</v>
      </c>
      <c r="BU319" s="23">
        <v>12</v>
      </c>
      <c r="BV319" s="24">
        <v>652</v>
      </c>
      <c r="BW319" s="23">
        <v>150</v>
      </c>
      <c r="BX319" s="24">
        <v>628</v>
      </c>
      <c r="BY319" s="23">
        <v>152</v>
      </c>
      <c r="BZ319" s="24">
        <v>24</v>
      </c>
      <c r="CA319" s="23">
        <v>27</v>
      </c>
      <c r="CB319" s="24">
        <v>152</v>
      </c>
      <c r="CC319" s="23">
        <v>79</v>
      </c>
      <c r="CD319" s="24">
        <v>152</v>
      </c>
      <c r="CE319" s="23">
        <v>79</v>
      </c>
      <c r="CF319" s="24">
        <v>0</v>
      </c>
      <c r="CG319" s="20">
        <v>12</v>
      </c>
    </row>
    <row r="320" spans="1:85" x14ac:dyDescent="0.3">
      <c r="A320" t="s">
        <v>639</v>
      </c>
      <c r="B320">
        <v>21632</v>
      </c>
      <c r="C320" t="s">
        <v>640</v>
      </c>
      <c r="D320" s="19">
        <v>5855</v>
      </c>
      <c r="E320" s="20">
        <v>394</v>
      </c>
      <c r="F320" s="19">
        <v>1909</v>
      </c>
      <c r="G320" s="23">
        <v>618</v>
      </c>
      <c r="H320" s="24">
        <v>777</v>
      </c>
      <c r="I320" s="23">
        <v>383</v>
      </c>
      <c r="J320" s="24">
        <v>777</v>
      </c>
      <c r="K320" s="23">
        <v>383</v>
      </c>
      <c r="L320" s="24">
        <v>0</v>
      </c>
      <c r="M320" s="23">
        <v>34</v>
      </c>
      <c r="N320" s="24">
        <v>904</v>
      </c>
      <c r="O320" s="23">
        <v>299</v>
      </c>
      <c r="P320" s="24">
        <v>743</v>
      </c>
      <c r="Q320" s="23">
        <v>265</v>
      </c>
      <c r="R320" s="24">
        <v>161</v>
      </c>
      <c r="S320" s="23">
        <v>110</v>
      </c>
      <c r="T320" s="24">
        <v>228</v>
      </c>
      <c r="U320" s="23">
        <v>97</v>
      </c>
      <c r="V320" s="24">
        <v>228</v>
      </c>
      <c r="W320" s="23">
        <v>97</v>
      </c>
      <c r="X320" s="24">
        <v>0</v>
      </c>
      <c r="Y320" s="20">
        <v>34</v>
      </c>
      <c r="Z320" s="19">
        <v>780</v>
      </c>
      <c r="AA320" s="23">
        <v>262</v>
      </c>
      <c r="AB320" s="24">
        <v>187</v>
      </c>
      <c r="AC320" s="23">
        <v>104</v>
      </c>
      <c r="AD320" s="24">
        <v>187</v>
      </c>
      <c r="AE320" s="23">
        <v>104</v>
      </c>
      <c r="AF320" s="24">
        <v>0</v>
      </c>
      <c r="AG320" s="23">
        <v>17</v>
      </c>
      <c r="AH320" s="24">
        <v>421</v>
      </c>
      <c r="AI320" s="23">
        <v>162</v>
      </c>
      <c r="AJ320" s="24">
        <v>352</v>
      </c>
      <c r="AK320" s="23">
        <v>140</v>
      </c>
      <c r="AL320" s="24">
        <v>69</v>
      </c>
      <c r="AM320" s="23">
        <v>79</v>
      </c>
      <c r="AN320" s="24">
        <v>172</v>
      </c>
      <c r="AO320" s="23">
        <v>68</v>
      </c>
      <c r="AP320" s="24">
        <v>172</v>
      </c>
      <c r="AQ320" s="23">
        <v>68</v>
      </c>
      <c r="AR320" s="24">
        <v>0</v>
      </c>
      <c r="AS320" s="20">
        <v>17</v>
      </c>
      <c r="AT320" s="19">
        <v>1949</v>
      </c>
      <c r="AU320" s="23">
        <v>372</v>
      </c>
      <c r="AV320" s="24">
        <v>430</v>
      </c>
      <c r="AW320" s="23">
        <v>191</v>
      </c>
      <c r="AX320" s="24">
        <v>399</v>
      </c>
      <c r="AY320" s="23">
        <v>189</v>
      </c>
      <c r="AZ320" s="24">
        <v>31</v>
      </c>
      <c r="BA320" s="23">
        <v>32</v>
      </c>
      <c r="BB320" s="24">
        <v>1119</v>
      </c>
      <c r="BC320" s="23">
        <v>217</v>
      </c>
      <c r="BD320" s="24">
        <v>997</v>
      </c>
      <c r="BE320" s="23">
        <v>205</v>
      </c>
      <c r="BF320" s="24">
        <v>122</v>
      </c>
      <c r="BG320" s="23">
        <v>66</v>
      </c>
      <c r="BH320" s="24">
        <v>400</v>
      </c>
      <c r="BI320" s="23">
        <v>96</v>
      </c>
      <c r="BJ320" s="24">
        <v>400</v>
      </c>
      <c r="BK320" s="23">
        <v>96</v>
      </c>
      <c r="BL320" s="24">
        <v>0</v>
      </c>
      <c r="BM320" s="20">
        <v>17</v>
      </c>
      <c r="BN320" s="19">
        <v>1217</v>
      </c>
      <c r="BO320" s="23">
        <v>274</v>
      </c>
      <c r="BP320" s="24">
        <v>148</v>
      </c>
      <c r="BQ320" s="23">
        <v>82</v>
      </c>
      <c r="BR320" s="24">
        <v>148</v>
      </c>
      <c r="BS320" s="23">
        <v>82</v>
      </c>
      <c r="BT320" s="26">
        <v>0</v>
      </c>
      <c r="BU320" s="23">
        <v>17</v>
      </c>
      <c r="BV320" s="24">
        <v>760</v>
      </c>
      <c r="BW320" s="23">
        <v>183</v>
      </c>
      <c r="BX320" s="24">
        <v>722</v>
      </c>
      <c r="BY320" s="23">
        <v>175</v>
      </c>
      <c r="BZ320" s="24">
        <v>38</v>
      </c>
      <c r="CA320" s="23">
        <v>43</v>
      </c>
      <c r="CB320" s="24">
        <v>309</v>
      </c>
      <c r="CC320" s="23">
        <v>108</v>
      </c>
      <c r="CD320" s="24">
        <v>309</v>
      </c>
      <c r="CE320" s="23">
        <v>108</v>
      </c>
      <c r="CF320" s="24">
        <v>0</v>
      </c>
      <c r="CG320" s="20">
        <v>17</v>
      </c>
    </row>
    <row r="321" spans="1:85" x14ac:dyDescent="0.3">
      <c r="A321" t="s">
        <v>641</v>
      </c>
      <c r="B321">
        <v>21634</v>
      </c>
      <c r="C321" t="s">
        <v>642</v>
      </c>
      <c r="D321" s="19">
        <v>91</v>
      </c>
      <c r="E321" s="20">
        <v>60</v>
      </c>
      <c r="F321" s="19">
        <v>5</v>
      </c>
      <c r="G321" s="23">
        <v>20</v>
      </c>
      <c r="H321" s="24">
        <v>0</v>
      </c>
      <c r="I321" s="23">
        <v>24</v>
      </c>
      <c r="J321" s="24">
        <v>0</v>
      </c>
      <c r="K321" s="23">
        <v>24</v>
      </c>
      <c r="L321" s="24">
        <v>0</v>
      </c>
      <c r="M321" s="23">
        <v>24</v>
      </c>
      <c r="N321" s="24">
        <v>0</v>
      </c>
      <c r="O321" s="23">
        <v>24</v>
      </c>
      <c r="P321" s="24">
        <v>0</v>
      </c>
      <c r="Q321" s="23">
        <v>24</v>
      </c>
      <c r="R321" s="24">
        <v>0</v>
      </c>
      <c r="S321" s="23">
        <v>24</v>
      </c>
      <c r="T321" s="24">
        <v>5</v>
      </c>
      <c r="U321" s="23">
        <v>20</v>
      </c>
      <c r="V321" s="24">
        <v>5</v>
      </c>
      <c r="W321" s="23">
        <v>20</v>
      </c>
      <c r="X321" s="24">
        <v>0</v>
      </c>
      <c r="Y321" s="20">
        <v>24</v>
      </c>
      <c r="Z321" s="19">
        <v>35</v>
      </c>
      <c r="AA321" s="23">
        <v>48</v>
      </c>
      <c r="AB321" s="24">
        <v>0</v>
      </c>
      <c r="AC321" s="23">
        <v>12</v>
      </c>
      <c r="AD321" s="24">
        <v>0</v>
      </c>
      <c r="AE321" s="23">
        <v>12</v>
      </c>
      <c r="AF321" s="24">
        <v>0</v>
      </c>
      <c r="AG321" s="23">
        <v>12</v>
      </c>
      <c r="AH321" s="24">
        <v>0</v>
      </c>
      <c r="AI321" s="23">
        <v>12</v>
      </c>
      <c r="AJ321" s="24">
        <v>0</v>
      </c>
      <c r="AK321" s="23">
        <v>12</v>
      </c>
      <c r="AL321" s="24">
        <v>0</v>
      </c>
      <c r="AM321" s="23">
        <v>12</v>
      </c>
      <c r="AN321" s="24">
        <v>35</v>
      </c>
      <c r="AO321" s="23">
        <v>48</v>
      </c>
      <c r="AP321" s="24">
        <v>35</v>
      </c>
      <c r="AQ321" s="23">
        <v>48</v>
      </c>
      <c r="AR321" s="24">
        <v>0</v>
      </c>
      <c r="AS321" s="20">
        <v>12</v>
      </c>
      <c r="AT321" s="19">
        <v>40</v>
      </c>
      <c r="AU321" s="23">
        <v>30</v>
      </c>
      <c r="AV321" s="24">
        <v>0</v>
      </c>
      <c r="AW321" s="23">
        <v>12</v>
      </c>
      <c r="AX321" s="24">
        <v>0</v>
      </c>
      <c r="AY321" s="23">
        <v>12</v>
      </c>
      <c r="AZ321" s="24">
        <v>0</v>
      </c>
      <c r="BA321" s="23">
        <v>12</v>
      </c>
      <c r="BB321" s="24">
        <v>23</v>
      </c>
      <c r="BC321" s="23">
        <v>23</v>
      </c>
      <c r="BD321" s="24">
        <v>23</v>
      </c>
      <c r="BE321" s="23">
        <v>23</v>
      </c>
      <c r="BF321" s="24">
        <v>0</v>
      </c>
      <c r="BG321" s="23">
        <v>12</v>
      </c>
      <c r="BH321" s="24">
        <v>17</v>
      </c>
      <c r="BI321" s="23">
        <v>19</v>
      </c>
      <c r="BJ321" s="24">
        <v>17</v>
      </c>
      <c r="BK321" s="23">
        <v>19</v>
      </c>
      <c r="BL321" s="24">
        <v>0</v>
      </c>
      <c r="BM321" s="20">
        <v>12</v>
      </c>
      <c r="BN321" s="19">
        <v>11</v>
      </c>
      <c r="BO321" s="23">
        <v>15</v>
      </c>
      <c r="BP321" s="24">
        <v>0</v>
      </c>
      <c r="BQ321" s="23">
        <v>12</v>
      </c>
      <c r="BR321" s="24">
        <v>0</v>
      </c>
      <c r="BS321" s="23">
        <v>12</v>
      </c>
      <c r="BT321" s="26">
        <v>0</v>
      </c>
      <c r="BU321" s="23">
        <v>12</v>
      </c>
      <c r="BV321" s="24">
        <v>11</v>
      </c>
      <c r="BW321" s="23">
        <v>15</v>
      </c>
      <c r="BX321" s="24">
        <v>11</v>
      </c>
      <c r="BY321" s="23">
        <v>15</v>
      </c>
      <c r="BZ321" s="24">
        <v>0</v>
      </c>
      <c r="CA321" s="23">
        <v>12</v>
      </c>
      <c r="CB321" s="24">
        <v>0</v>
      </c>
      <c r="CC321" s="23">
        <v>12</v>
      </c>
      <c r="CD321" s="24">
        <v>0</v>
      </c>
      <c r="CE321" s="23">
        <v>12</v>
      </c>
      <c r="CF321" s="24">
        <v>0</v>
      </c>
      <c r="CG321" s="20">
        <v>12</v>
      </c>
    </row>
    <row r="322" spans="1:85" x14ac:dyDescent="0.3">
      <c r="A322" t="s">
        <v>643</v>
      </c>
      <c r="B322">
        <v>21635</v>
      </c>
      <c r="C322" t="s">
        <v>644</v>
      </c>
      <c r="D322" s="19">
        <v>2033</v>
      </c>
      <c r="E322" s="20">
        <v>294</v>
      </c>
      <c r="F322" s="19">
        <v>222</v>
      </c>
      <c r="G322" s="23">
        <v>152</v>
      </c>
      <c r="H322" s="24">
        <v>61</v>
      </c>
      <c r="I322" s="23">
        <v>79</v>
      </c>
      <c r="J322" s="24">
        <v>61</v>
      </c>
      <c r="K322" s="23">
        <v>79</v>
      </c>
      <c r="L322" s="24">
        <v>0</v>
      </c>
      <c r="M322" s="23">
        <v>24</v>
      </c>
      <c r="N322" s="24">
        <v>72</v>
      </c>
      <c r="O322" s="23">
        <v>54</v>
      </c>
      <c r="P322" s="24">
        <v>67</v>
      </c>
      <c r="Q322" s="23">
        <v>53</v>
      </c>
      <c r="R322" s="24">
        <v>5</v>
      </c>
      <c r="S322" s="23">
        <v>19</v>
      </c>
      <c r="T322" s="24">
        <v>89</v>
      </c>
      <c r="U322" s="23">
        <v>67</v>
      </c>
      <c r="V322" s="24">
        <v>89</v>
      </c>
      <c r="W322" s="23">
        <v>67</v>
      </c>
      <c r="X322" s="24">
        <v>0</v>
      </c>
      <c r="Y322" s="20">
        <v>24</v>
      </c>
      <c r="Z322" s="19">
        <v>233</v>
      </c>
      <c r="AA322" s="23">
        <v>155</v>
      </c>
      <c r="AB322" s="24">
        <v>42</v>
      </c>
      <c r="AC322" s="23">
        <v>45</v>
      </c>
      <c r="AD322" s="24">
        <v>42</v>
      </c>
      <c r="AE322" s="23">
        <v>45</v>
      </c>
      <c r="AF322" s="24">
        <v>0</v>
      </c>
      <c r="AG322" s="23">
        <v>12</v>
      </c>
      <c r="AH322" s="24">
        <v>137</v>
      </c>
      <c r="AI322" s="23">
        <v>116</v>
      </c>
      <c r="AJ322" s="24">
        <v>80</v>
      </c>
      <c r="AK322" s="23">
        <v>92</v>
      </c>
      <c r="AL322" s="24">
        <v>57</v>
      </c>
      <c r="AM322" s="23">
        <v>70</v>
      </c>
      <c r="AN322" s="24">
        <v>54</v>
      </c>
      <c r="AO322" s="23">
        <v>41</v>
      </c>
      <c r="AP322" s="24">
        <v>54</v>
      </c>
      <c r="AQ322" s="23">
        <v>41</v>
      </c>
      <c r="AR322" s="24">
        <v>0</v>
      </c>
      <c r="AS322" s="20">
        <v>12</v>
      </c>
      <c r="AT322" s="19">
        <v>534</v>
      </c>
      <c r="AU322" s="23">
        <v>220</v>
      </c>
      <c r="AV322" s="24">
        <v>107</v>
      </c>
      <c r="AW322" s="23">
        <v>71</v>
      </c>
      <c r="AX322" s="24">
        <v>107</v>
      </c>
      <c r="AY322" s="23">
        <v>71</v>
      </c>
      <c r="AZ322" s="24">
        <v>0</v>
      </c>
      <c r="BA322" s="23">
        <v>12</v>
      </c>
      <c r="BB322" s="24">
        <v>344</v>
      </c>
      <c r="BC322" s="23">
        <v>160</v>
      </c>
      <c r="BD322" s="24">
        <v>327</v>
      </c>
      <c r="BE322" s="23">
        <v>159</v>
      </c>
      <c r="BF322" s="24">
        <v>17</v>
      </c>
      <c r="BG322" s="23">
        <v>31</v>
      </c>
      <c r="BH322" s="24">
        <v>83</v>
      </c>
      <c r="BI322" s="23">
        <v>46</v>
      </c>
      <c r="BJ322" s="24">
        <v>83</v>
      </c>
      <c r="BK322" s="23">
        <v>46</v>
      </c>
      <c r="BL322" s="24">
        <v>0</v>
      </c>
      <c r="BM322" s="20">
        <v>12</v>
      </c>
      <c r="BN322" s="19">
        <v>1044</v>
      </c>
      <c r="BO322" s="23">
        <v>223</v>
      </c>
      <c r="BP322" s="24">
        <v>197</v>
      </c>
      <c r="BQ322" s="23">
        <v>100</v>
      </c>
      <c r="BR322" s="24">
        <v>188</v>
      </c>
      <c r="BS322" s="23">
        <v>96</v>
      </c>
      <c r="BT322" s="26">
        <v>9</v>
      </c>
      <c r="BU322" s="23">
        <v>14</v>
      </c>
      <c r="BV322" s="24">
        <v>619</v>
      </c>
      <c r="BW322" s="23">
        <v>130</v>
      </c>
      <c r="BX322" s="24">
        <v>566</v>
      </c>
      <c r="BY322" s="23">
        <v>129</v>
      </c>
      <c r="BZ322" s="24">
        <v>53</v>
      </c>
      <c r="CA322" s="23">
        <v>47</v>
      </c>
      <c r="CB322" s="24">
        <v>228</v>
      </c>
      <c r="CC322" s="23">
        <v>78</v>
      </c>
      <c r="CD322" s="24">
        <v>228</v>
      </c>
      <c r="CE322" s="23">
        <v>78</v>
      </c>
      <c r="CF322" s="24">
        <v>0</v>
      </c>
      <c r="CG322" s="20">
        <v>12</v>
      </c>
    </row>
    <row r="323" spans="1:85" x14ac:dyDescent="0.3">
      <c r="A323" t="s">
        <v>645</v>
      </c>
      <c r="B323">
        <v>21636</v>
      </c>
      <c r="C323" t="s">
        <v>646</v>
      </c>
      <c r="D323" s="19">
        <v>1015</v>
      </c>
      <c r="E323" s="20">
        <v>263</v>
      </c>
      <c r="F323" s="19">
        <v>94</v>
      </c>
      <c r="G323" s="23">
        <v>85</v>
      </c>
      <c r="H323" s="24">
        <v>38</v>
      </c>
      <c r="I323" s="23">
        <v>52</v>
      </c>
      <c r="J323" s="24">
        <v>34</v>
      </c>
      <c r="K323" s="23">
        <v>46</v>
      </c>
      <c r="L323" s="24">
        <v>4</v>
      </c>
      <c r="M323" s="23">
        <v>19</v>
      </c>
      <c r="N323" s="24">
        <v>50</v>
      </c>
      <c r="O323" s="23">
        <v>43</v>
      </c>
      <c r="P323" s="24">
        <v>39</v>
      </c>
      <c r="Q323" s="23">
        <v>37</v>
      </c>
      <c r="R323" s="24">
        <v>11</v>
      </c>
      <c r="S323" s="23">
        <v>18</v>
      </c>
      <c r="T323" s="24">
        <v>6</v>
      </c>
      <c r="U323" s="23">
        <v>9</v>
      </c>
      <c r="V323" s="24">
        <v>6</v>
      </c>
      <c r="W323" s="23">
        <v>9</v>
      </c>
      <c r="X323" s="24">
        <v>0</v>
      </c>
      <c r="Y323" s="20">
        <v>24</v>
      </c>
      <c r="Z323" s="19">
        <v>133</v>
      </c>
      <c r="AA323" s="23">
        <v>69</v>
      </c>
      <c r="AB323" s="24">
        <v>8</v>
      </c>
      <c r="AC323" s="23">
        <v>7</v>
      </c>
      <c r="AD323" s="24">
        <v>6</v>
      </c>
      <c r="AE323" s="23">
        <v>7</v>
      </c>
      <c r="AF323" s="24">
        <v>2</v>
      </c>
      <c r="AG323" s="23">
        <v>3</v>
      </c>
      <c r="AH323" s="24">
        <v>67</v>
      </c>
      <c r="AI323" s="23">
        <v>45</v>
      </c>
      <c r="AJ323" s="24">
        <v>57</v>
      </c>
      <c r="AK323" s="23">
        <v>45</v>
      </c>
      <c r="AL323" s="24">
        <v>10</v>
      </c>
      <c r="AM323" s="23">
        <v>15</v>
      </c>
      <c r="AN323" s="24">
        <v>58</v>
      </c>
      <c r="AO323" s="23">
        <v>42</v>
      </c>
      <c r="AP323" s="24">
        <v>58</v>
      </c>
      <c r="AQ323" s="23">
        <v>42</v>
      </c>
      <c r="AR323" s="24">
        <v>0</v>
      </c>
      <c r="AS323" s="20">
        <v>12</v>
      </c>
      <c r="AT323" s="19">
        <v>316</v>
      </c>
      <c r="AU323" s="23">
        <v>141</v>
      </c>
      <c r="AV323" s="24">
        <v>76</v>
      </c>
      <c r="AW323" s="23">
        <v>47</v>
      </c>
      <c r="AX323" s="24">
        <v>76</v>
      </c>
      <c r="AY323" s="23">
        <v>47</v>
      </c>
      <c r="AZ323" s="24">
        <v>0</v>
      </c>
      <c r="BA323" s="23">
        <v>12</v>
      </c>
      <c r="BB323" s="24">
        <v>178</v>
      </c>
      <c r="BC323" s="23">
        <v>71</v>
      </c>
      <c r="BD323" s="24">
        <v>162</v>
      </c>
      <c r="BE323" s="23">
        <v>68</v>
      </c>
      <c r="BF323" s="24">
        <v>16</v>
      </c>
      <c r="BG323" s="23">
        <v>10</v>
      </c>
      <c r="BH323" s="24">
        <v>62</v>
      </c>
      <c r="BI323" s="23">
        <v>52</v>
      </c>
      <c r="BJ323" s="24">
        <v>62</v>
      </c>
      <c r="BK323" s="23">
        <v>52</v>
      </c>
      <c r="BL323" s="24">
        <v>0</v>
      </c>
      <c r="BM323" s="20">
        <v>12</v>
      </c>
      <c r="BN323" s="19">
        <v>472</v>
      </c>
      <c r="BO323" s="23">
        <v>225</v>
      </c>
      <c r="BP323" s="24">
        <v>82</v>
      </c>
      <c r="BQ323" s="23">
        <v>74</v>
      </c>
      <c r="BR323" s="24">
        <v>80</v>
      </c>
      <c r="BS323" s="23">
        <v>73</v>
      </c>
      <c r="BT323" s="26">
        <v>2</v>
      </c>
      <c r="BU323" s="23">
        <v>3</v>
      </c>
      <c r="BV323" s="24">
        <v>347</v>
      </c>
      <c r="BW323" s="23">
        <v>157</v>
      </c>
      <c r="BX323" s="24">
        <v>345</v>
      </c>
      <c r="BY323" s="23">
        <v>157</v>
      </c>
      <c r="BZ323" s="24">
        <v>2</v>
      </c>
      <c r="CA323" s="23">
        <v>3</v>
      </c>
      <c r="CB323" s="24">
        <v>43</v>
      </c>
      <c r="CC323" s="23">
        <v>26</v>
      </c>
      <c r="CD323" s="24">
        <v>43</v>
      </c>
      <c r="CE323" s="23">
        <v>26</v>
      </c>
      <c r="CF323" s="24">
        <v>0</v>
      </c>
      <c r="CG323" s="20">
        <v>12</v>
      </c>
    </row>
    <row r="324" spans="1:85" x14ac:dyDescent="0.3">
      <c r="A324" t="s">
        <v>647</v>
      </c>
      <c r="B324">
        <v>21638</v>
      </c>
      <c r="C324" t="s">
        <v>648</v>
      </c>
      <c r="D324" s="19">
        <v>5108</v>
      </c>
      <c r="E324" s="20">
        <v>522</v>
      </c>
      <c r="F324" s="19">
        <v>915</v>
      </c>
      <c r="G324" s="23">
        <v>516</v>
      </c>
      <c r="H324" s="24">
        <v>439</v>
      </c>
      <c r="I324" s="23">
        <v>368</v>
      </c>
      <c r="J324" s="24">
        <v>439</v>
      </c>
      <c r="K324" s="23">
        <v>368</v>
      </c>
      <c r="L324" s="24">
        <v>0</v>
      </c>
      <c r="M324" s="23">
        <v>34</v>
      </c>
      <c r="N324" s="24">
        <v>396</v>
      </c>
      <c r="O324" s="23">
        <v>222</v>
      </c>
      <c r="P324" s="24">
        <v>355</v>
      </c>
      <c r="Q324" s="23">
        <v>220</v>
      </c>
      <c r="R324" s="24">
        <v>41</v>
      </c>
      <c r="S324" s="23">
        <v>69</v>
      </c>
      <c r="T324" s="24">
        <v>80</v>
      </c>
      <c r="U324" s="23">
        <v>74</v>
      </c>
      <c r="V324" s="24">
        <v>80</v>
      </c>
      <c r="W324" s="23">
        <v>74</v>
      </c>
      <c r="X324" s="24">
        <v>0</v>
      </c>
      <c r="Y324" s="20">
        <v>34</v>
      </c>
      <c r="Z324" s="19">
        <v>228</v>
      </c>
      <c r="AA324" s="23">
        <v>144</v>
      </c>
      <c r="AB324" s="24">
        <v>61</v>
      </c>
      <c r="AC324" s="23">
        <v>61</v>
      </c>
      <c r="AD324" s="24">
        <v>61</v>
      </c>
      <c r="AE324" s="23">
        <v>61</v>
      </c>
      <c r="AF324" s="24">
        <v>0</v>
      </c>
      <c r="AG324" s="23">
        <v>17</v>
      </c>
      <c r="AH324" s="24">
        <v>96</v>
      </c>
      <c r="AI324" s="23">
        <v>78</v>
      </c>
      <c r="AJ324" s="24">
        <v>96</v>
      </c>
      <c r="AK324" s="23">
        <v>78</v>
      </c>
      <c r="AL324" s="24">
        <v>0</v>
      </c>
      <c r="AM324" s="23">
        <v>17</v>
      </c>
      <c r="AN324" s="24">
        <v>71</v>
      </c>
      <c r="AO324" s="23">
        <v>59</v>
      </c>
      <c r="AP324" s="24">
        <v>71</v>
      </c>
      <c r="AQ324" s="23">
        <v>59</v>
      </c>
      <c r="AR324" s="24">
        <v>0</v>
      </c>
      <c r="AS324" s="20">
        <v>17</v>
      </c>
      <c r="AT324" s="19">
        <v>1118</v>
      </c>
      <c r="AU324" s="23">
        <v>355</v>
      </c>
      <c r="AV324" s="24">
        <v>320</v>
      </c>
      <c r="AW324" s="23">
        <v>142</v>
      </c>
      <c r="AX324" s="24">
        <v>320</v>
      </c>
      <c r="AY324" s="23">
        <v>142</v>
      </c>
      <c r="AZ324" s="24">
        <v>0</v>
      </c>
      <c r="BA324" s="23">
        <v>17</v>
      </c>
      <c r="BB324" s="24">
        <v>596</v>
      </c>
      <c r="BC324" s="23">
        <v>235</v>
      </c>
      <c r="BD324" s="24">
        <v>572</v>
      </c>
      <c r="BE324" s="23">
        <v>228</v>
      </c>
      <c r="BF324" s="24">
        <v>24</v>
      </c>
      <c r="BG324" s="23">
        <v>31</v>
      </c>
      <c r="BH324" s="24">
        <v>202</v>
      </c>
      <c r="BI324" s="23">
        <v>95</v>
      </c>
      <c r="BJ324" s="24">
        <v>202</v>
      </c>
      <c r="BK324" s="23">
        <v>95</v>
      </c>
      <c r="BL324" s="24">
        <v>0</v>
      </c>
      <c r="BM324" s="20">
        <v>17</v>
      </c>
      <c r="BN324" s="19">
        <v>2847</v>
      </c>
      <c r="BO324" s="23">
        <v>375</v>
      </c>
      <c r="BP324" s="24">
        <v>572</v>
      </c>
      <c r="BQ324" s="23">
        <v>169</v>
      </c>
      <c r="BR324" s="24">
        <v>557</v>
      </c>
      <c r="BS324" s="23">
        <v>168</v>
      </c>
      <c r="BT324" s="26">
        <v>15</v>
      </c>
      <c r="BU324" s="23">
        <v>15</v>
      </c>
      <c r="BV324" s="24">
        <v>1694</v>
      </c>
      <c r="BW324" s="23">
        <v>268</v>
      </c>
      <c r="BX324" s="24">
        <v>1634</v>
      </c>
      <c r="BY324" s="23">
        <v>261</v>
      </c>
      <c r="BZ324" s="24">
        <v>60</v>
      </c>
      <c r="CA324" s="23">
        <v>41</v>
      </c>
      <c r="CB324" s="24">
        <v>581</v>
      </c>
      <c r="CC324" s="23">
        <v>120</v>
      </c>
      <c r="CD324" s="24">
        <v>581</v>
      </c>
      <c r="CE324" s="23">
        <v>120</v>
      </c>
      <c r="CF324" s="24">
        <v>0</v>
      </c>
      <c r="CG324" s="20">
        <v>17</v>
      </c>
    </row>
    <row r="325" spans="1:85" x14ac:dyDescent="0.3">
      <c r="A325" t="s">
        <v>649</v>
      </c>
      <c r="B325">
        <v>21639</v>
      </c>
      <c r="C325" t="s">
        <v>650</v>
      </c>
      <c r="D325" s="19">
        <v>4524</v>
      </c>
      <c r="E325" s="20">
        <v>404</v>
      </c>
      <c r="F325" s="19">
        <v>1083</v>
      </c>
      <c r="G325" s="23">
        <v>399</v>
      </c>
      <c r="H325" s="24">
        <v>444</v>
      </c>
      <c r="I325" s="23">
        <v>241</v>
      </c>
      <c r="J325" s="24">
        <v>444</v>
      </c>
      <c r="K325" s="23">
        <v>241</v>
      </c>
      <c r="L325" s="24">
        <v>0</v>
      </c>
      <c r="M325" s="23">
        <v>24</v>
      </c>
      <c r="N325" s="24">
        <v>469</v>
      </c>
      <c r="O325" s="23">
        <v>173</v>
      </c>
      <c r="P325" s="24">
        <v>380</v>
      </c>
      <c r="Q325" s="23">
        <v>162</v>
      </c>
      <c r="R325" s="24">
        <v>89</v>
      </c>
      <c r="S325" s="23">
        <v>72</v>
      </c>
      <c r="T325" s="24">
        <v>170</v>
      </c>
      <c r="U325" s="23">
        <v>106</v>
      </c>
      <c r="V325" s="24">
        <v>170</v>
      </c>
      <c r="W325" s="23">
        <v>106</v>
      </c>
      <c r="X325" s="24">
        <v>0</v>
      </c>
      <c r="Y325" s="20">
        <v>24</v>
      </c>
      <c r="Z325" s="19">
        <v>551</v>
      </c>
      <c r="AA325" s="23">
        <v>212</v>
      </c>
      <c r="AB325" s="24">
        <v>171</v>
      </c>
      <c r="AC325" s="23">
        <v>95</v>
      </c>
      <c r="AD325" s="24">
        <v>171</v>
      </c>
      <c r="AE325" s="23">
        <v>95</v>
      </c>
      <c r="AF325" s="24">
        <v>0</v>
      </c>
      <c r="AG325" s="23">
        <v>12</v>
      </c>
      <c r="AH325" s="24">
        <v>303</v>
      </c>
      <c r="AI325" s="23">
        <v>129</v>
      </c>
      <c r="AJ325" s="24">
        <v>234</v>
      </c>
      <c r="AK325" s="23">
        <v>126</v>
      </c>
      <c r="AL325" s="24">
        <v>69</v>
      </c>
      <c r="AM325" s="23">
        <v>54</v>
      </c>
      <c r="AN325" s="24">
        <v>77</v>
      </c>
      <c r="AO325" s="23">
        <v>54</v>
      </c>
      <c r="AP325" s="24">
        <v>77</v>
      </c>
      <c r="AQ325" s="23">
        <v>54</v>
      </c>
      <c r="AR325" s="24">
        <v>0</v>
      </c>
      <c r="AS325" s="20">
        <v>12</v>
      </c>
      <c r="AT325" s="19">
        <v>1894</v>
      </c>
      <c r="AU325" s="23">
        <v>452</v>
      </c>
      <c r="AV325" s="24">
        <v>531</v>
      </c>
      <c r="AW325" s="23">
        <v>192</v>
      </c>
      <c r="AX325" s="24">
        <v>495</v>
      </c>
      <c r="AY325" s="23">
        <v>192</v>
      </c>
      <c r="AZ325" s="24">
        <v>36</v>
      </c>
      <c r="BA325" s="23">
        <v>49</v>
      </c>
      <c r="BB325" s="24">
        <v>1167</v>
      </c>
      <c r="BC325" s="23">
        <v>260</v>
      </c>
      <c r="BD325" s="24">
        <v>1067</v>
      </c>
      <c r="BE325" s="23">
        <v>252</v>
      </c>
      <c r="BF325" s="24">
        <v>100</v>
      </c>
      <c r="BG325" s="23">
        <v>75</v>
      </c>
      <c r="BH325" s="24">
        <v>196</v>
      </c>
      <c r="BI325" s="23">
        <v>105</v>
      </c>
      <c r="BJ325" s="24">
        <v>196</v>
      </c>
      <c r="BK325" s="23">
        <v>105</v>
      </c>
      <c r="BL325" s="24">
        <v>0</v>
      </c>
      <c r="BM325" s="20">
        <v>12</v>
      </c>
      <c r="BN325" s="19">
        <v>996</v>
      </c>
      <c r="BO325" s="23">
        <v>258</v>
      </c>
      <c r="BP325" s="24">
        <v>179</v>
      </c>
      <c r="BQ325" s="23">
        <v>87</v>
      </c>
      <c r="BR325" s="24">
        <v>179</v>
      </c>
      <c r="BS325" s="23">
        <v>87</v>
      </c>
      <c r="BT325" s="26">
        <v>0</v>
      </c>
      <c r="BU325" s="23">
        <v>12</v>
      </c>
      <c r="BV325" s="24">
        <v>622</v>
      </c>
      <c r="BW325" s="23">
        <v>163</v>
      </c>
      <c r="BX325" s="24">
        <v>608</v>
      </c>
      <c r="BY325" s="23">
        <v>155</v>
      </c>
      <c r="BZ325" s="24">
        <v>14</v>
      </c>
      <c r="CA325" s="23">
        <v>24</v>
      </c>
      <c r="CB325" s="24">
        <v>195</v>
      </c>
      <c r="CC325" s="23">
        <v>125</v>
      </c>
      <c r="CD325" s="24">
        <v>195</v>
      </c>
      <c r="CE325" s="23">
        <v>125</v>
      </c>
      <c r="CF325" s="24">
        <v>0</v>
      </c>
      <c r="CG325" s="20">
        <v>12</v>
      </c>
    </row>
    <row r="326" spans="1:85" x14ac:dyDescent="0.3">
      <c r="A326" t="s">
        <v>651</v>
      </c>
      <c r="B326">
        <v>21640</v>
      </c>
      <c r="C326" t="s">
        <v>652</v>
      </c>
      <c r="D326" s="19">
        <v>1617</v>
      </c>
      <c r="E326" s="20">
        <v>325</v>
      </c>
      <c r="F326" s="19">
        <v>318</v>
      </c>
      <c r="G326" s="23">
        <v>231</v>
      </c>
      <c r="H326" s="24">
        <v>82</v>
      </c>
      <c r="I326" s="23">
        <v>91</v>
      </c>
      <c r="J326" s="24">
        <v>58</v>
      </c>
      <c r="K326" s="23">
        <v>78</v>
      </c>
      <c r="L326" s="24">
        <v>24</v>
      </c>
      <c r="M326" s="23">
        <v>43</v>
      </c>
      <c r="N326" s="24">
        <v>165</v>
      </c>
      <c r="O326" s="23">
        <v>129</v>
      </c>
      <c r="P326" s="24">
        <v>108</v>
      </c>
      <c r="Q326" s="23">
        <v>86</v>
      </c>
      <c r="R326" s="24">
        <v>57</v>
      </c>
      <c r="S326" s="23">
        <v>69</v>
      </c>
      <c r="T326" s="24">
        <v>71</v>
      </c>
      <c r="U326" s="23">
        <v>63</v>
      </c>
      <c r="V326" s="24">
        <v>71</v>
      </c>
      <c r="W326" s="23">
        <v>63</v>
      </c>
      <c r="X326" s="24">
        <v>0</v>
      </c>
      <c r="Y326" s="20">
        <v>24</v>
      </c>
      <c r="Z326" s="19">
        <v>354</v>
      </c>
      <c r="AA326" s="23">
        <v>254</v>
      </c>
      <c r="AB326" s="24">
        <v>171</v>
      </c>
      <c r="AC326" s="23">
        <v>162</v>
      </c>
      <c r="AD326" s="24">
        <v>171</v>
      </c>
      <c r="AE326" s="23">
        <v>162</v>
      </c>
      <c r="AF326" s="24">
        <v>0</v>
      </c>
      <c r="AG326" s="23">
        <v>12</v>
      </c>
      <c r="AH326" s="24">
        <v>146</v>
      </c>
      <c r="AI326" s="23">
        <v>101</v>
      </c>
      <c r="AJ326" s="24">
        <v>101</v>
      </c>
      <c r="AK326" s="23">
        <v>87</v>
      </c>
      <c r="AL326" s="24">
        <v>45</v>
      </c>
      <c r="AM326" s="23">
        <v>52</v>
      </c>
      <c r="AN326" s="24">
        <v>37</v>
      </c>
      <c r="AO326" s="23">
        <v>25</v>
      </c>
      <c r="AP326" s="24">
        <v>37</v>
      </c>
      <c r="AQ326" s="23">
        <v>25</v>
      </c>
      <c r="AR326" s="24">
        <v>0</v>
      </c>
      <c r="AS326" s="20">
        <v>12</v>
      </c>
      <c r="AT326" s="19">
        <v>357</v>
      </c>
      <c r="AU326" s="23">
        <v>110</v>
      </c>
      <c r="AV326" s="24">
        <v>64</v>
      </c>
      <c r="AW326" s="23">
        <v>45</v>
      </c>
      <c r="AX326" s="24">
        <v>64</v>
      </c>
      <c r="AY326" s="23">
        <v>45</v>
      </c>
      <c r="AZ326" s="24">
        <v>0</v>
      </c>
      <c r="BA326" s="23">
        <v>12</v>
      </c>
      <c r="BB326" s="24">
        <v>233</v>
      </c>
      <c r="BC326" s="23">
        <v>75</v>
      </c>
      <c r="BD326" s="24">
        <v>211</v>
      </c>
      <c r="BE326" s="23">
        <v>71</v>
      </c>
      <c r="BF326" s="24">
        <v>22</v>
      </c>
      <c r="BG326" s="23">
        <v>23</v>
      </c>
      <c r="BH326" s="24">
        <v>60</v>
      </c>
      <c r="BI326" s="23">
        <v>39</v>
      </c>
      <c r="BJ326" s="24">
        <v>60</v>
      </c>
      <c r="BK326" s="23">
        <v>39</v>
      </c>
      <c r="BL326" s="24">
        <v>0</v>
      </c>
      <c r="BM326" s="20">
        <v>12</v>
      </c>
      <c r="BN326" s="19">
        <v>588</v>
      </c>
      <c r="BO326" s="23">
        <v>207</v>
      </c>
      <c r="BP326" s="24">
        <v>66</v>
      </c>
      <c r="BQ326" s="23">
        <v>58</v>
      </c>
      <c r="BR326" s="24">
        <v>66</v>
      </c>
      <c r="BS326" s="23">
        <v>58</v>
      </c>
      <c r="BT326" s="26">
        <v>0</v>
      </c>
      <c r="BU326" s="23">
        <v>12</v>
      </c>
      <c r="BV326" s="24">
        <v>450</v>
      </c>
      <c r="BW326" s="23">
        <v>173</v>
      </c>
      <c r="BX326" s="24">
        <v>450</v>
      </c>
      <c r="BY326" s="23">
        <v>173</v>
      </c>
      <c r="BZ326" s="24">
        <v>0</v>
      </c>
      <c r="CA326" s="23">
        <v>12</v>
      </c>
      <c r="CB326" s="24">
        <v>72</v>
      </c>
      <c r="CC326" s="23">
        <v>55</v>
      </c>
      <c r="CD326" s="24">
        <v>72</v>
      </c>
      <c r="CE326" s="23">
        <v>55</v>
      </c>
      <c r="CF326" s="24">
        <v>0</v>
      </c>
      <c r="CG326" s="20">
        <v>12</v>
      </c>
    </row>
    <row r="327" spans="1:85" x14ac:dyDescent="0.3">
      <c r="A327" t="s">
        <v>653</v>
      </c>
      <c r="B327">
        <v>21641</v>
      </c>
      <c r="C327" t="s">
        <v>654</v>
      </c>
      <c r="D327" s="19">
        <v>89</v>
      </c>
      <c r="E327" s="20">
        <v>41</v>
      </c>
      <c r="F327" s="19">
        <v>36</v>
      </c>
      <c r="G327" s="23">
        <v>36</v>
      </c>
      <c r="H327" s="24">
        <v>16</v>
      </c>
      <c r="I327" s="23">
        <v>20</v>
      </c>
      <c r="J327" s="24">
        <v>16</v>
      </c>
      <c r="K327" s="23">
        <v>20</v>
      </c>
      <c r="L327" s="24">
        <v>0</v>
      </c>
      <c r="M327" s="23">
        <v>24</v>
      </c>
      <c r="N327" s="24">
        <v>15</v>
      </c>
      <c r="O327" s="23">
        <v>17</v>
      </c>
      <c r="P327" s="24">
        <v>11</v>
      </c>
      <c r="Q327" s="23">
        <v>16</v>
      </c>
      <c r="R327" s="24">
        <v>4</v>
      </c>
      <c r="S327" s="23">
        <v>20</v>
      </c>
      <c r="T327" s="24">
        <v>5</v>
      </c>
      <c r="U327" s="23">
        <v>18</v>
      </c>
      <c r="V327" s="24">
        <v>5</v>
      </c>
      <c r="W327" s="23">
        <v>18</v>
      </c>
      <c r="X327" s="24">
        <v>0</v>
      </c>
      <c r="Y327" s="20">
        <v>24</v>
      </c>
      <c r="Z327" s="19">
        <v>12</v>
      </c>
      <c r="AA327" s="23">
        <v>10</v>
      </c>
      <c r="AB327" s="24">
        <v>4</v>
      </c>
      <c r="AC327" s="23">
        <v>6</v>
      </c>
      <c r="AD327" s="24">
        <v>4</v>
      </c>
      <c r="AE327" s="23">
        <v>6</v>
      </c>
      <c r="AF327" s="24">
        <v>0</v>
      </c>
      <c r="AG327" s="23">
        <v>12</v>
      </c>
      <c r="AH327" s="24">
        <v>8</v>
      </c>
      <c r="AI327" s="23">
        <v>7</v>
      </c>
      <c r="AJ327" s="24">
        <v>8</v>
      </c>
      <c r="AK327" s="23">
        <v>7</v>
      </c>
      <c r="AL327" s="24">
        <v>0</v>
      </c>
      <c r="AM327" s="23">
        <v>12</v>
      </c>
      <c r="AN327" s="24">
        <v>0</v>
      </c>
      <c r="AO327" s="23">
        <v>12</v>
      </c>
      <c r="AP327" s="24">
        <v>0</v>
      </c>
      <c r="AQ327" s="23">
        <v>12</v>
      </c>
      <c r="AR327" s="24">
        <v>0</v>
      </c>
      <c r="AS327" s="20">
        <v>12</v>
      </c>
      <c r="AT327" s="19">
        <v>14</v>
      </c>
      <c r="AU327" s="23">
        <v>13</v>
      </c>
      <c r="AV327" s="24">
        <v>3</v>
      </c>
      <c r="AW327" s="23">
        <v>8</v>
      </c>
      <c r="AX327" s="24">
        <v>3</v>
      </c>
      <c r="AY327" s="23">
        <v>8</v>
      </c>
      <c r="AZ327" s="24">
        <v>0</v>
      </c>
      <c r="BA327" s="23">
        <v>12</v>
      </c>
      <c r="BB327" s="24">
        <v>7</v>
      </c>
      <c r="BC327" s="23">
        <v>7</v>
      </c>
      <c r="BD327" s="24">
        <v>7</v>
      </c>
      <c r="BE327" s="23">
        <v>7</v>
      </c>
      <c r="BF327" s="24">
        <v>0</v>
      </c>
      <c r="BG327" s="23">
        <v>12</v>
      </c>
      <c r="BH327" s="24">
        <v>4</v>
      </c>
      <c r="BI327" s="23">
        <v>4</v>
      </c>
      <c r="BJ327" s="24">
        <v>4</v>
      </c>
      <c r="BK327" s="23">
        <v>4</v>
      </c>
      <c r="BL327" s="24">
        <v>0</v>
      </c>
      <c r="BM327" s="20">
        <v>12</v>
      </c>
      <c r="BN327" s="19">
        <v>27</v>
      </c>
      <c r="BO327" s="23">
        <v>20</v>
      </c>
      <c r="BP327" s="24">
        <v>1</v>
      </c>
      <c r="BQ327" s="23">
        <v>2</v>
      </c>
      <c r="BR327" s="24">
        <v>1</v>
      </c>
      <c r="BS327" s="23">
        <v>2</v>
      </c>
      <c r="BT327" s="26">
        <v>0</v>
      </c>
      <c r="BU327" s="23">
        <v>12</v>
      </c>
      <c r="BV327" s="24">
        <v>8</v>
      </c>
      <c r="BW327" s="23">
        <v>8</v>
      </c>
      <c r="BX327" s="24">
        <v>6</v>
      </c>
      <c r="BY327" s="23">
        <v>6</v>
      </c>
      <c r="BZ327" s="24">
        <v>2</v>
      </c>
      <c r="CA327" s="23">
        <v>3</v>
      </c>
      <c r="CB327" s="24">
        <v>18</v>
      </c>
      <c r="CC327" s="23">
        <v>16</v>
      </c>
      <c r="CD327" s="24">
        <v>18</v>
      </c>
      <c r="CE327" s="23">
        <v>16</v>
      </c>
      <c r="CF327" s="24">
        <v>0</v>
      </c>
      <c r="CG327" s="20">
        <v>12</v>
      </c>
    </row>
    <row r="328" spans="1:85" x14ac:dyDescent="0.3">
      <c r="A328" t="s">
        <v>655</v>
      </c>
      <c r="B328">
        <v>21643</v>
      </c>
      <c r="C328" t="s">
        <v>656</v>
      </c>
      <c r="D328" s="19">
        <v>5912</v>
      </c>
      <c r="E328" s="20">
        <v>510</v>
      </c>
      <c r="F328" s="19">
        <v>1004</v>
      </c>
      <c r="G328" s="23">
        <v>417</v>
      </c>
      <c r="H328" s="24">
        <v>335</v>
      </c>
      <c r="I328" s="23">
        <v>175</v>
      </c>
      <c r="J328" s="24">
        <v>317</v>
      </c>
      <c r="K328" s="23">
        <v>179</v>
      </c>
      <c r="L328" s="24">
        <v>18</v>
      </c>
      <c r="M328" s="23">
        <v>40</v>
      </c>
      <c r="N328" s="24">
        <v>535</v>
      </c>
      <c r="O328" s="23">
        <v>261</v>
      </c>
      <c r="P328" s="24">
        <v>505</v>
      </c>
      <c r="Q328" s="23">
        <v>262</v>
      </c>
      <c r="R328" s="24">
        <v>30</v>
      </c>
      <c r="S328" s="23">
        <v>42</v>
      </c>
      <c r="T328" s="24">
        <v>134</v>
      </c>
      <c r="U328" s="23">
        <v>115</v>
      </c>
      <c r="V328" s="24">
        <v>134</v>
      </c>
      <c r="W328" s="23">
        <v>115</v>
      </c>
      <c r="X328" s="24">
        <v>0</v>
      </c>
      <c r="Y328" s="20">
        <v>34</v>
      </c>
      <c r="Z328" s="19">
        <v>605</v>
      </c>
      <c r="AA328" s="23">
        <v>205</v>
      </c>
      <c r="AB328" s="24">
        <v>87</v>
      </c>
      <c r="AC328" s="23">
        <v>55</v>
      </c>
      <c r="AD328" s="24">
        <v>87</v>
      </c>
      <c r="AE328" s="23">
        <v>55</v>
      </c>
      <c r="AF328" s="24">
        <v>0</v>
      </c>
      <c r="AG328" s="23">
        <v>17</v>
      </c>
      <c r="AH328" s="24">
        <v>320</v>
      </c>
      <c r="AI328" s="23">
        <v>132</v>
      </c>
      <c r="AJ328" s="24">
        <v>246</v>
      </c>
      <c r="AK328" s="23">
        <v>102</v>
      </c>
      <c r="AL328" s="24">
        <v>74</v>
      </c>
      <c r="AM328" s="23">
        <v>59</v>
      </c>
      <c r="AN328" s="24">
        <v>198</v>
      </c>
      <c r="AO328" s="23">
        <v>123</v>
      </c>
      <c r="AP328" s="24">
        <v>198</v>
      </c>
      <c r="AQ328" s="23">
        <v>123</v>
      </c>
      <c r="AR328" s="24">
        <v>0</v>
      </c>
      <c r="AS328" s="20">
        <v>17</v>
      </c>
      <c r="AT328" s="19">
        <v>2599</v>
      </c>
      <c r="AU328" s="23">
        <v>664</v>
      </c>
      <c r="AV328" s="24">
        <v>674</v>
      </c>
      <c r="AW328" s="23">
        <v>278</v>
      </c>
      <c r="AX328" s="24">
        <v>651</v>
      </c>
      <c r="AY328" s="23">
        <v>271</v>
      </c>
      <c r="AZ328" s="24">
        <v>23</v>
      </c>
      <c r="BA328" s="23">
        <v>30</v>
      </c>
      <c r="BB328" s="24">
        <v>1595</v>
      </c>
      <c r="BC328" s="23">
        <v>419</v>
      </c>
      <c r="BD328" s="24">
        <v>1419</v>
      </c>
      <c r="BE328" s="23">
        <v>398</v>
      </c>
      <c r="BF328" s="24">
        <v>176</v>
      </c>
      <c r="BG328" s="23">
        <v>106</v>
      </c>
      <c r="BH328" s="24">
        <v>330</v>
      </c>
      <c r="BI328" s="23">
        <v>122</v>
      </c>
      <c r="BJ328" s="24">
        <v>330</v>
      </c>
      <c r="BK328" s="23">
        <v>122</v>
      </c>
      <c r="BL328" s="24">
        <v>0</v>
      </c>
      <c r="BM328" s="20">
        <v>17</v>
      </c>
      <c r="BN328" s="19">
        <v>1704</v>
      </c>
      <c r="BO328" s="23">
        <v>397</v>
      </c>
      <c r="BP328" s="24">
        <v>432</v>
      </c>
      <c r="BQ328" s="23">
        <v>166</v>
      </c>
      <c r="BR328" s="24">
        <v>432</v>
      </c>
      <c r="BS328" s="23">
        <v>166</v>
      </c>
      <c r="BT328" s="26">
        <v>0</v>
      </c>
      <c r="BU328" s="23">
        <v>17</v>
      </c>
      <c r="BV328" s="24">
        <v>1100</v>
      </c>
      <c r="BW328" s="23">
        <v>269</v>
      </c>
      <c r="BX328" s="24">
        <v>1093</v>
      </c>
      <c r="BY328" s="23">
        <v>270</v>
      </c>
      <c r="BZ328" s="24">
        <v>7</v>
      </c>
      <c r="CA328" s="23">
        <v>13</v>
      </c>
      <c r="CB328" s="24">
        <v>172</v>
      </c>
      <c r="CC328" s="23">
        <v>78</v>
      </c>
      <c r="CD328" s="24">
        <v>172</v>
      </c>
      <c r="CE328" s="23">
        <v>78</v>
      </c>
      <c r="CF328" s="24">
        <v>0</v>
      </c>
      <c r="CG328" s="20">
        <v>17</v>
      </c>
    </row>
    <row r="329" spans="1:85" x14ac:dyDescent="0.3">
      <c r="A329" t="s">
        <v>657</v>
      </c>
      <c r="B329">
        <v>21644</v>
      </c>
      <c r="C329" t="s">
        <v>658</v>
      </c>
      <c r="D329" s="19">
        <v>205</v>
      </c>
      <c r="E329" s="20">
        <v>142</v>
      </c>
      <c r="F329" s="19">
        <v>3</v>
      </c>
      <c r="G329" s="23">
        <v>18</v>
      </c>
      <c r="H329" s="24">
        <v>0</v>
      </c>
      <c r="I329" s="23">
        <v>24</v>
      </c>
      <c r="J329" s="24">
        <v>0</v>
      </c>
      <c r="K329" s="23">
        <v>24</v>
      </c>
      <c r="L329" s="24">
        <v>0</v>
      </c>
      <c r="M329" s="23">
        <v>24</v>
      </c>
      <c r="N329" s="24">
        <v>3</v>
      </c>
      <c r="O329" s="23">
        <v>18</v>
      </c>
      <c r="P329" s="24">
        <v>3</v>
      </c>
      <c r="Q329" s="23">
        <v>18</v>
      </c>
      <c r="R329" s="24">
        <v>0</v>
      </c>
      <c r="S329" s="23">
        <v>24</v>
      </c>
      <c r="T329" s="24">
        <v>0</v>
      </c>
      <c r="U329" s="23">
        <v>24</v>
      </c>
      <c r="V329" s="24">
        <v>0</v>
      </c>
      <c r="W329" s="23">
        <v>24</v>
      </c>
      <c r="X329" s="24">
        <v>0</v>
      </c>
      <c r="Y329" s="20">
        <v>24</v>
      </c>
      <c r="Z329" s="19">
        <v>10</v>
      </c>
      <c r="AA329" s="23">
        <v>15</v>
      </c>
      <c r="AB329" s="24">
        <v>0</v>
      </c>
      <c r="AC329" s="23">
        <v>12</v>
      </c>
      <c r="AD329" s="24">
        <v>0</v>
      </c>
      <c r="AE329" s="23">
        <v>12</v>
      </c>
      <c r="AF329" s="24">
        <v>0</v>
      </c>
      <c r="AG329" s="23">
        <v>12</v>
      </c>
      <c r="AH329" s="24">
        <v>10</v>
      </c>
      <c r="AI329" s="23">
        <v>15</v>
      </c>
      <c r="AJ329" s="24">
        <v>10</v>
      </c>
      <c r="AK329" s="23">
        <v>15</v>
      </c>
      <c r="AL329" s="24">
        <v>0</v>
      </c>
      <c r="AM329" s="23">
        <v>12</v>
      </c>
      <c r="AN329" s="24">
        <v>0</v>
      </c>
      <c r="AO329" s="23">
        <v>12</v>
      </c>
      <c r="AP329" s="24">
        <v>0</v>
      </c>
      <c r="AQ329" s="23">
        <v>12</v>
      </c>
      <c r="AR329" s="24">
        <v>0</v>
      </c>
      <c r="AS329" s="20">
        <v>12</v>
      </c>
      <c r="AT329" s="19">
        <v>175</v>
      </c>
      <c r="AU329" s="23">
        <v>154</v>
      </c>
      <c r="AV329" s="24">
        <v>94</v>
      </c>
      <c r="AW329" s="23">
        <v>89</v>
      </c>
      <c r="AX329" s="24">
        <v>94</v>
      </c>
      <c r="AY329" s="23">
        <v>89</v>
      </c>
      <c r="AZ329" s="24">
        <v>0</v>
      </c>
      <c r="BA329" s="23">
        <v>12</v>
      </c>
      <c r="BB329" s="24">
        <v>70</v>
      </c>
      <c r="BC329" s="23">
        <v>66</v>
      </c>
      <c r="BD329" s="24">
        <v>70</v>
      </c>
      <c r="BE329" s="23">
        <v>66</v>
      </c>
      <c r="BF329" s="24">
        <v>0</v>
      </c>
      <c r="BG329" s="23">
        <v>12</v>
      </c>
      <c r="BH329" s="24">
        <v>11</v>
      </c>
      <c r="BI329" s="23">
        <v>16</v>
      </c>
      <c r="BJ329" s="24">
        <v>11</v>
      </c>
      <c r="BK329" s="23">
        <v>16</v>
      </c>
      <c r="BL329" s="24">
        <v>0</v>
      </c>
      <c r="BM329" s="20">
        <v>12</v>
      </c>
      <c r="BN329" s="19">
        <v>17</v>
      </c>
      <c r="BO329" s="23">
        <v>30</v>
      </c>
      <c r="BP329" s="24">
        <v>8</v>
      </c>
      <c r="BQ329" s="23">
        <v>15</v>
      </c>
      <c r="BR329" s="24">
        <v>8</v>
      </c>
      <c r="BS329" s="23">
        <v>15</v>
      </c>
      <c r="BT329" s="26">
        <v>0</v>
      </c>
      <c r="BU329" s="23">
        <v>12</v>
      </c>
      <c r="BV329" s="24">
        <v>9</v>
      </c>
      <c r="BW329" s="23">
        <v>15</v>
      </c>
      <c r="BX329" s="24">
        <v>9</v>
      </c>
      <c r="BY329" s="23">
        <v>15</v>
      </c>
      <c r="BZ329" s="24">
        <v>0</v>
      </c>
      <c r="CA329" s="23">
        <v>12</v>
      </c>
      <c r="CB329" s="24">
        <v>0</v>
      </c>
      <c r="CC329" s="23">
        <v>12</v>
      </c>
      <c r="CD329" s="24">
        <v>0</v>
      </c>
      <c r="CE329" s="23">
        <v>12</v>
      </c>
      <c r="CF329" s="24">
        <v>0</v>
      </c>
      <c r="CG329" s="20">
        <v>12</v>
      </c>
    </row>
    <row r="330" spans="1:85" x14ac:dyDescent="0.3">
      <c r="A330" t="s">
        <v>659</v>
      </c>
      <c r="B330">
        <v>21645</v>
      </c>
      <c r="C330" t="s">
        <v>660</v>
      </c>
      <c r="D330" s="19">
        <v>1148</v>
      </c>
      <c r="E330" s="20">
        <v>301</v>
      </c>
      <c r="F330" s="19">
        <v>131</v>
      </c>
      <c r="G330" s="23">
        <v>104</v>
      </c>
      <c r="H330" s="24">
        <v>16</v>
      </c>
      <c r="I330" s="23">
        <v>37</v>
      </c>
      <c r="J330" s="24">
        <v>16</v>
      </c>
      <c r="K330" s="23">
        <v>37</v>
      </c>
      <c r="L330" s="24">
        <v>0</v>
      </c>
      <c r="M330" s="23">
        <v>24</v>
      </c>
      <c r="N330" s="24">
        <v>111</v>
      </c>
      <c r="O330" s="23">
        <v>73</v>
      </c>
      <c r="P330" s="24">
        <v>72</v>
      </c>
      <c r="Q330" s="23">
        <v>67</v>
      </c>
      <c r="R330" s="24">
        <v>39</v>
      </c>
      <c r="S330" s="23">
        <v>44</v>
      </c>
      <c r="T330" s="24">
        <v>4</v>
      </c>
      <c r="U330" s="23">
        <v>21</v>
      </c>
      <c r="V330" s="24">
        <v>0</v>
      </c>
      <c r="W330" s="23">
        <v>24</v>
      </c>
      <c r="X330" s="24">
        <v>4</v>
      </c>
      <c r="Y330" s="20">
        <v>21</v>
      </c>
      <c r="Z330" s="19">
        <v>22</v>
      </c>
      <c r="AA330" s="23">
        <v>31</v>
      </c>
      <c r="AB330" s="24">
        <v>0</v>
      </c>
      <c r="AC330" s="23">
        <v>12</v>
      </c>
      <c r="AD330" s="24">
        <v>0</v>
      </c>
      <c r="AE330" s="23">
        <v>12</v>
      </c>
      <c r="AF330" s="24">
        <v>0</v>
      </c>
      <c r="AG330" s="23">
        <v>12</v>
      </c>
      <c r="AH330" s="24">
        <v>12</v>
      </c>
      <c r="AI330" s="23">
        <v>28</v>
      </c>
      <c r="AJ330" s="24">
        <v>0</v>
      </c>
      <c r="AK330" s="23">
        <v>12</v>
      </c>
      <c r="AL330" s="24">
        <v>12</v>
      </c>
      <c r="AM330" s="23">
        <v>28</v>
      </c>
      <c r="AN330" s="24">
        <v>10</v>
      </c>
      <c r="AO330" s="23">
        <v>14</v>
      </c>
      <c r="AP330" s="24">
        <v>10</v>
      </c>
      <c r="AQ330" s="23">
        <v>14</v>
      </c>
      <c r="AR330" s="24">
        <v>0</v>
      </c>
      <c r="AS330" s="20">
        <v>12</v>
      </c>
      <c r="AT330" s="19">
        <v>438</v>
      </c>
      <c r="AU330" s="23">
        <v>213</v>
      </c>
      <c r="AV330" s="24">
        <v>102</v>
      </c>
      <c r="AW330" s="23">
        <v>78</v>
      </c>
      <c r="AX330" s="24">
        <v>102</v>
      </c>
      <c r="AY330" s="23">
        <v>78</v>
      </c>
      <c r="AZ330" s="24">
        <v>0</v>
      </c>
      <c r="BA330" s="23">
        <v>12</v>
      </c>
      <c r="BB330" s="24">
        <v>193</v>
      </c>
      <c r="BC330" s="23">
        <v>115</v>
      </c>
      <c r="BD330" s="24">
        <v>143</v>
      </c>
      <c r="BE330" s="23">
        <v>82</v>
      </c>
      <c r="BF330" s="24">
        <v>50</v>
      </c>
      <c r="BG330" s="23">
        <v>78</v>
      </c>
      <c r="BH330" s="24">
        <v>143</v>
      </c>
      <c r="BI330" s="23">
        <v>121</v>
      </c>
      <c r="BJ330" s="24">
        <v>143</v>
      </c>
      <c r="BK330" s="23">
        <v>121</v>
      </c>
      <c r="BL330" s="24">
        <v>0</v>
      </c>
      <c r="BM330" s="20">
        <v>12</v>
      </c>
      <c r="BN330" s="19">
        <v>557</v>
      </c>
      <c r="BO330" s="23">
        <v>206</v>
      </c>
      <c r="BP330" s="24">
        <v>38</v>
      </c>
      <c r="BQ330" s="23">
        <v>46</v>
      </c>
      <c r="BR330" s="24">
        <v>38</v>
      </c>
      <c r="BS330" s="23">
        <v>46</v>
      </c>
      <c r="BT330" s="26">
        <v>0</v>
      </c>
      <c r="BU330" s="23">
        <v>12</v>
      </c>
      <c r="BV330" s="24">
        <v>367</v>
      </c>
      <c r="BW330" s="23">
        <v>186</v>
      </c>
      <c r="BX330" s="24">
        <v>367</v>
      </c>
      <c r="BY330" s="23">
        <v>186</v>
      </c>
      <c r="BZ330" s="24">
        <v>0</v>
      </c>
      <c r="CA330" s="23">
        <v>12</v>
      </c>
      <c r="CB330" s="24">
        <v>152</v>
      </c>
      <c r="CC330" s="23">
        <v>74</v>
      </c>
      <c r="CD330" s="24">
        <v>152</v>
      </c>
      <c r="CE330" s="23">
        <v>74</v>
      </c>
      <c r="CF330" s="24">
        <v>0</v>
      </c>
      <c r="CG330" s="20">
        <v>12</v>
      </c>
    </row>
    <row r="331" spans="1:85" x14ac:dyDescent="0.3">
      <c r="A331" t="s">
        <v>661</v>
      </c>
      <c r="B331">
        <v>21647</v>
      </c>
      <c r="C331" t="s">
        <v>662</v>
      </c>
      <c r="D331" s="19">
        <v>161</v>
      </c>
      <c r="E331" s="20">
        <v>63</v>
      </c>
      <c r="F331" s="19">
        <v>17</v>
      </c>
      <c r="G331" s="23">
        <v>31</v>
      </c>
      <c r="H331" s="24">
        <v>0</v>
      </c>
      <c r="I331" s="23">
        <v>24</v>
      </c>
      <c r="J331" s="24">
        <v>0</v>
      </c>
      <c r="K331" s="23">
        <v>24</v>
      </c>
      <c r="L331" s="24">
        <v>0</v>
      </c>
      <c r="M331" s="23">
        <v>24</v>
      </c>
      <c r="N331" s="24">
        <v>0</v>
      </c>
      <c r="O331" s="23">
        <v>24</v>
      </c>
      <c r="P331" s="24">
        <v>0</v>
      </c>
      <c r="Q331" s="23">
        <v>24</v>
      </c>
      <c r="R331" s="24">
        <v>0</v>
      </c>
      <c r="S331" s="23">
        <v>24</v>
      </c>
      <c r="T331" s="24">
        <v>17</v>
      </c>
      <c r="U331" s="23">
        <v>31</v>
      </c>
      <c r="V331" s="24">
        <v>17</v>
      </c>
      <c r="W331" s="23">
        <v>31</v>
      </c>
      <c r="X331" s="24">
        <v>0</v>
      </c>
      <c r="Y331" s="20">
        <v>24</v>
      </c>
      <c r="Z331" s="19">
        <v>0</v>
      </c>
      <c r="AA331" s="23">
        <v>12</v>
      </c>
      <c r="AB331" s="24">
        <v>0</v>
      </c>
      <c r="AC331" s="23">
        <v>12</v>
      </c>
      <c r="AD331" s="24">
        <v>0</v>
      </c>
      <c r="AE331" s="23">
        <v>12</v>
      </c>
      <c r="AF331" s="24">
        <v>0</v>
      </c>
      <c r="AG331" s="23">
        <v>12</v>
      </c>
      <c r="AH331" s="24">
        <v>0</v>
      </c>
      <c r="AI331" s="23">
        <v>12</v>
      </c>
      <c r="AJ331" s="24">
        <v>0</v>
      </c>
      <c r="AK331" s="23">
        <v>12</v>
      </c>
      <c r="AL331" s="24">
        <v>0</v>
      </c>
      <c r="AM331" s="23">
        <v>12</v>
      </c>
      <c r="AN331" s="24">
        <v>0</v>
      </c>
      <c r="AO331" s="23">
        <v>12</v>
      </c>
      <c r="AP331" s="24">
        <v>0</v>
      </c>
      <c r="AQ331" s="23">
        <v>12</v>
      </c>
      <c r="AR331" s="24">
        <v>0</v>
      </c>
      <c r="AS331" s="20">
        <v>12</v>
      </c>
      <c r="AT331" s="19">
        <v>31</v>
      </c>
      <c r="AU331" s="23">
        <v>29</v>
      </c>
      <c r="AV331" s="24">
        <v>0</v>
      </c>
      <c r="AW331" s="23">
        <v>12</v>
      </c>
      <c r="AX331" s="24">
        <v>0</v>
      </c>
      <c r="AY331" s="23">
        <v>12</v>
      </c>
      <c r="AZ331" s="24">
        <v>0</v>
      </c>
      <c r="BA331" s="23">
        <v>12</v>
      </c>
      <c r="BB331" s="24">
        <v>15</v>
      </c>
      <c r="BC331" s="23">
        <v>19</v>
      </c>
      <c r="BD331" s="24">
        <v>4</v>
      </c>
      <c r="BE331" s="23">
        <v>7</v>
      </c>
      <c r="BF331" s="24">
        <v>11</v>
      </c>
      <c r="BG331" s="23">
        <v>17</v>
      </c>
      <c r="BH331" s="24">
        <v>16</v>
      </c>
      <c r="BI331" s="23">
        <v>18</v>
      </c>
      <c r="BJ331" s="24">
        <v>16</v>
      </c>
      <c r="BK331" s="23">
        <v>18</v>
      </c>
      <c r="BL331" s="24">
        <v>0</v>
      </c>
      <c r="BM331" s="20">
        <v>12</v>
      </c>
      <c r="BN331" s="19">
        <v>113</v>
      </c>
      <c r="BO331" s="23">
        <v>61</v>
      </c>
      <c r="BP331" s="24">
        <v>8</v>
      </c>
      <c r="BQ331" s="23">
        <v>12</v>
      </c>
      <c r="BR331" s="24">
        <v>8</v>
      </c>
      <c r="BS331" s="23">
        <v>12</v>
      </c>
      <c r="BT331" s="26">
        <v>0</v>
      </c>
      <c r="BU331" s="23">
        <v>12</v>
      </c>
      <c r="BV331" s="24">
        <v>55</v>
      </c>
      <c r="BW331" s="23">
        <v>37</v>
      </c>
      <c r="BX331" s="24">
        <v>43</v>
      </c>
      <c r="BY331" s="23">
        <v>33</v>
      </c>
      <c r="BZ331" s="24">
        <v>12</v>
      </c>
      <c r="CA331" s="23">
        <v>18</v>
      </c>
      <c r="CB331" s="24">
        <v>50</v>
      </c>
      <c r="CC331" s="23">
        <v>31</v>
      </c>
      <c r="CD331" s="24">
        <v>50</v>
      </c>
      <c r="CE331" s="23">
        <v>31</v>
      </c>
      <c r="CF331" s="24">
        <v>0</v>
      </c>
      <c r="CG331" s="20">
        <v>12</v>
      </c>
    </row>
    <row r="332" spans="1:85" x14ac:dyDescent="0.3">
      <c r="A332" t="s">
        <v>663</v>
      </c>
      <c r="B332">
        <v>21648</v>
      </c>
      <c r="C332" t="s">
        <v>664</v>
      </c>
      <c r="D332" s="19">
        <v>274</v>
      </c>
      <c r="E332" s="20">
        <v>120</v>
      </c>
      <c r="F332" s="19">
        <v>30</v>
      </c>
      <c r="G332" s="23">
        <v>39</v>
      </c>
      <c r="H332" s="24">
        <v>0</v>
      </c>
      <c r="I332" s="23">
        <v>24</v>
      </c>
      <c r="J332" s="24">
        <v>0</v>
      </c>
      <c r="K332" s="23">
        <v>24</v>
      </c>
      <c r="L332" s="24">
        <v>0</v>
      </c>
      <c r="M332" s="23">
        <v>24</v>
      </c>
      <c r="N332" s="24">
        <v>25</v>
      </c>
      <c r="O332" s="23">
        <v>38</v>
      </c>
      <c r="P332" s="24">
        <v>0</v>
      </c>
      <c r="Q332" s="23">
        <v>24</v>
      </c>
      <c r="R332" s="24">
        <v>25</v>
      </c>
      <c r="S332" s="23">
        <v>38</v>
      </c>
      <c r="T332" s="24">
        <v>5</v>
      </c>
      <c r="U332" s="23">
        <v>19</v>
      </c>
      <c r="V332" s="24">
        <v>5</v>
      </c>
      <c r="W332" s="23">
        <v>19</v>
      </c>
      <c r="X332" s="24">
        <v>0</v>
      </c>
      <c r="Y332" s="20">
        <v>24</v>
      </c>
      <c r="Z332" s="19">
        <v>54</v>
      </c>
      <c r="AA332" s="23">
        <v>73</v>
      </c>
      <c r="AB332" s="24">
        <v>33</v>
      </c>
      <c r="AC332" s="23">
        <v>50</v>
      </c>
      <c r="AD332" s="24">
        <v>33</v>
      </c>
      <c r="AE332" s="23">
        <v>50</v>
      </c>
      <c r="AF332" s="24">
        <v>0</v>
      </c>
      <c r="AG332" s="23">
        <v>12</v>
      </c>
      <c r="AH332" s="24">
        <v>21</v>
      </c>
      <c r="AI332" s="23">
        <v>24</v>
      </c>
      <c r="AJ332" s="24">
        <v>21</v>
      </c>
      <c r="AK332" s="23">
        <v>24</v>
      </c>
      <c r="AL332" s="24">
        <v>0</v>
      </c>
      <c r="AM332" s="23">
        <v>12</v>
      </c>
      <c r="AN332" s="24">
        <v>0</v>
      </c>
      <c r="AO332" s="23">
        <v>12</v>
      </c>
      <c r="AP332" s="24">
        <v>0</v>
      </c>
      <c r="AQ332" s="23">
        <v>12</v>
      </c>
      <c r="AR332" s="24">
        <v>0</v>
      </c>
      <c r="AS332" s="20">
        <v>12</v>
      </c>
      <c r="AT332" s="19">
        <v>145</v>
      </c>
      <c r="AU332" s="23">
        <v>95</v>
      </c>
      <c r="AV332" s="24">
        <v>17</v>
      </c>
      <c r="AW332" s="23">
        <v>13</v>
      </c>
      <c r="AX332" s="24">
        <v>17</v>
      </c>
      <c r="AY332" s="23">
        <v>13</v>
      </c>
      <c r="AZ332" s="24">
        <v>0</v>
      </c>
      <c r="BA332" s="23">
        <v>12</v>
      </c>
      <c r="BB332" s="24">
        <v>86</v>
      </c>
      <c r="BC332" s="23">
        <v>56</v>
      </c>
      <c r="BD332" s="24">
        <v>86</v>
      </c>
      <c r="BE332" s="23">
        <v>56</v>
      </c>
      <c r="BF332" s="24">
        <v>0</v>
      </c>
      <c r="BG332" s="23">
        <v>12</v>
      </c>
      <c r="BH332" s="24">
        <v>42</v>
      </c>
      <c r="BI332" s="23">
        <v>34</v>
      </c>
      <c r="BJ332" s="24">
        <v>42</v>
      </c>
      <c r="BK332" s="23">
        <v>34</v>
      </c>
      <c r="BL332" s="24">
        <v>0</v>
      </c>
      <c r="BM332" s="20">
        <v>12</v>
      </c>
      <c r="BN332" s="19">
        <v>45</v>
      </c>
      <c r="BO332" s="23">
        <v>30</v>
      </c>
      <c r="BP332" s="24">
        <v>5</v>
      </c>
      <c r="BQ332" s="23">
        <v>8</v>
      </c>
      <c r="BR332" s="24">
        <v>5</v>
      </c>
      <c r="BS332" s="23">
        <v>8</v>
      </c>
      <c r="BT332" s="26">
        <v>0</v>
      </c>
      <c r="BU332" s="23">
        <v>12</v>
      </c>
      <c r="BV332" s="24">
        <v>17</v>
      </c>
      <c r="BW332" s="23">
        <v>19</v>
      </c>
      <c r="BX332" s="24">
        <v>17</v>
      </c>
      <c r="BY332" s="23">
        <v>19</v>
      </c>
      <c r="BZ332" s="24">
        <v>0</v>
      </c>
      <c r="CA332" s="23">
        <v>12</v>
      </c>
      <c r="CB332" s="24">
        <v>23</v>
      </c>
      <c r="CC332" s="23">
        <v>30</v>
      </c>
      <c r="CD332" s="24">
        <v>23</v>
      </c>
      <c r="CE332" s="23">
        <v>30</v>
      </c>
      <c r="CF332" s="24">
        <v>0</v>
      </c>
      <c r="CG332" s="20">
        <v>12</v>
      </c>
    </row>
    <row r="333" spans="1:85" x14ac:dyDescent="0.3">
      <c r="A333" t="s">
        <v>665</v>
      </c>
      <c r="B333">
        <v>21649</v>
      </c>
      <c r="C333" t="s">
        <v>666</v>
      </c>
      <c r="D333" s="19">
        <v>1781</v>
      </c>
      <c r="E333" s="20">
        <v>321</v>
      </c>
      <c r="F333" s="19">
        <v>789</v>
      </c>
      <c r="G333" s="23">
        <v>462</v>
      </c>
      <c r="H333" s="24">
        <v>228</v>
      </c>
      <c r="I333" s="23">
        <v>163</v>
      </c>
      <c r="J333" s="24">
        <v>224</v>
      </c>
      <c r="K333" s="23">
        <v>161</v>
      </c>
      <c r="L333" s="24">
        <v>4</v>
      </c>
      <c r="M333" s="23">
        <v>18</v>
      </c>
      <c r="N333" s="24">
        <v>527</v>
      </c>
      <c r="O333" s="23">
        <v>316</v>
      </c>
      <c r="P333" s="24">
        <v>194</v>
      </c>
      <c r="Q333" s="23">
        <v>177</v>
      </c>
      <c r="R333" s="24">
        <v>333</v>
      </c>
      <c r="S333" s="23">
        <v>234</v>
      </c>
      <c r="T333" s="24">
        <v>34</v>
      </c>
      <c r="U333" s="23">
        <v>49</v>
      </c>
      <c r="V333" s="24">
        <v>34</v>
      </c>
      <c r="W333" s="23">
        <v>49</v>
      </c>
      <c r="X333" s="24">
        <v>0</v>
      </c>
      <c r="Y333" s="20">
        <v>24</v>
      </c>
      <c r="Z333" s="19">
        <v>217</v>
      </c>
      <c r="AA333" s="23">
        <v>109</v>
      </c>
      <c r="AB333" s="24">
        <v>47</v>
      </c>
      <c r="AC333" s="23">
        <v>35</v>
      </c>
      <c r="AD333" s="24">
        <v>47</v>
      </c>
      <c r="AE333" s="23">
        <v>35</v>
      </c>
      <c r="AF333" s="24">
        <v>0</v>
      </c>
      <c r="AG333" s="23">
        <v>12</v>
      </c>
      <c r="AH333" s="24">
        <v>148</v>
      </c>
      <c r="AI333" s="23">
        <v>73</v>
      </c>
      <c r="AJ333" s="24">
        <v>102</v>
      </c>
      <c r="AK333" s="23">
        <v>66</v>
      </c>
      <c r="AL333" s="24">
        <v>46</v>
      </c>
      <c r="AM333" s="23">
        <v>37</v>
      </c>
      <c r="AN333" s="24">
        <v>22</v>
      </c>
      <c r="AO333" s="23">
        <v>26</v>
      </c>
      <c r="AP333" s="24">
        <v>22</v>
      </c>
      <c r="AQ333" s="23">
        <v>26</v>
      </c>
      <c r="AR333" s="24">
        <v>0</v>
      </c>
      <c r="AS333" s="20">
        <v>12</v>
      </c>
      <c r="AT333" s="19">
        <v>615</v>
      </c>
      <c r="AU333" s="23">
        <v>208</v>
      </c>
      <c r="AV333" s="24">
        <v>126</v>
      </c>
      <c r="AW333" s="23">
        <v>67</v>
      </c>
      <c r="AX333" s="24">
        <v>98</v>
      </c>
      <c r="AY333" s="23">
        <v>58</v>
      </c>
      <c r="AZ333" s="24">
        <v>28</v>
      </c>
      <c r="BA333" s="23">
        <v>27</v>
      </c>
      <c r="BB333" s="24">
        <v>443</v>
      </c>
      <c r="BC333" s="23">
        <v>158</v>
      </c>
      <c r="BD333" s="24">
        <v>364</v>
      </c>
      <c r="BE333" s="23">
        <v>142</v>
      </c>
      <c r="BF333" s="24">
        <v>79</v>
      </c>
      <c r="BG333" s="23">
        <v>57</v>
      </c>
      <c r="BH333" s="24">
        <v>46</v>
      </c>
      <c r="BI333" s="23">
        <v>36</v>
      </c>
      <c r="BJ333" s="24">
        <v>31</v>
      </c>
      <c r="BK333" s="23">
        <v>29</v>
      </c>
      <c r="BL333" s="24">
        <v>15</v>
      </c>
      <c r="BM333" s="20">
        <v>16</v>
      </c>
      <c r="BN333" s="19">
        <v>160</v>
      </c>
      <c r="BO333" s="23">
        <v>90</v>
      </c>
      <c r="BP333" s="24">
        <v>9</v>
      </c>
      <c r="BQ333" s="23">
        <v>14</v>
      </c>
      <c r="BR333" s="24">
        <v>9</v>
      </c>
      <c r="BS333" s="23">
        <v>14</v>
      </c>
      <c r="BT333" s="26">
        <v>0</v>
      </c>
      <c r="BU333" s="23">
        <v>12</v>
      </c>
      <c r="BV333" s="24">
        <v>139</v>
      </c>
      <c r="BW333" s="23">
        <v>82</v>
      </c>
      <c r="BX333" s="24">
        <v>136</v>
      </c>
      <c r="BY333" s="23">
        <v>81</v>
      </c>
      <c r="BZ333" s="24">
        <v>3</v>
      </c>
      <c r="CA333" s="23">
        <v>5</v>
      </c>
      <c r="CB333" s="24">
        <v>12</v>
      </c>
      <c r="CC333" s="23">
        <v>14</v>
      </c>
      <c r="CD333" s="24">
        <v>12</v>
      </c>
      <c r="CE333" s="23">
        <v>14</v>
      </c>
      <c r="CF333" s="24">
        <v>0</v>
      </c>
      <c r="CG333" s="20">
        <v>12</v>
      </c>
    </row>
    <row r="334" spans="1:85" x14ac:dyDescent="0.3">
      <c r="A334" t="s">
        <v>667</v>
      </c>
      <c r="B334">
        <v>21650</v>
      </c>
      <c r="C334" t="s">
        <v>668</v>
      </c>
      <c r="D334" s="19">
        <v>144</v>
      </c>
      <c r="E334" s="20">
        <v>97</v>
      </c>
      <c r="F334" s="19">
        <v>0</v>
      </c>
      <c r="G334" s="23">
        <v>24</v>
      </c>
      <c r="H334" s="24">
        <v>0</v>
      </c>
      <c r="I334" s="23">
        <v>24</v>
      </c>
      <c r="J334" s="24">
        <v>0</v>
      </c>
      <c r="K334" s="23">
        <v>24</v>
      </c>
      <c r="L334" s="24">
        <v>0</v>
      </c>
      <c r="M334" s="23">
        <v>24</v>
      </c>
      <c r="N334" s="24">
        <v>0</v>
      </c>
      <c r="O334" s="23">
        <v>24</v>
      </c>
      <c r="P334" s="24">
        <v>0</v>
      </c>
      <c r="Q334" s="23">
        <v>24</v>
      </c>
      <c r="R334" s="24">
        <v>0</v>
      </c>
      <c r="S334" s="23">
        <v>24</v>
      </c>
      <c r="T334" s="24">
        <v>0</v>
      </c>
      <c r="U334" s="23">
        <v>24</v>
      </c>
      <c r="V334" s="24">
        <v>0</v>
      </c>
      <c r="W334" s="23">
        <v>24</v>
      </c>
      <c r="X334" s="24">
        <v>0</v>
      </c>
      <c r="Y334" s="20">
        <v>24</v>
      </c>
      <c r="Z334" s="19">
        <v>0</v>
      </c>
      <c r="AA334" s="23">
        <v>12</v>
      </c>
      <c r="AB334" s="24">
        <v>0</v>
      </c>
      <c r="AC334" s="23">
        <v>12</v>
      </c>
      <c r="AD334" s="24">
        <v>0</v>
      </c>
      <c r="AE334" s="23">
        <v>12</v>
      </c>
      <c r="AF334" s="24">
        <v>0</v>
      </c>
      <c r="AG334" s="23">
        <v>12</v>
      </c>
      <c r="AH334" s="24">
        <v>0</v>
      </c>
      <c r="AI334" s="23">
        <v>12</v>
      </c>
      <c r="AJ334" s="24">
        <v>0</v>
      </c>
      <c r="AK334" s="23">
        <v>12</v>
      </c>
      <c r="AL334" s="24">
        <v>0</v>
      </c>
      <c r="AM334" s="23">
        <v>12</v>
      </c>
      <c r="AN334" s="24">
        <v>0</v>
      </c>
      <c r="AO334" s="23">
        <v>12</v>
      </c>
      <c r="AP334" s="24">
        <v>0</v>
      </c>
      <c r="AQ334" s="23">
        <v>12</v>
      </c>
      <c r="AR334" s="24">
        <v>0</v>
      </c>
      <c r="AS334" s="20">
        <v>12</v>
      </c>
      <c r="AT334" s="19">
        <v>96</v>
      </c>
      <c r="AU334" s="23">
        <v>92</v>
      </c>
      <c r="AV334" s="24">
        <v>15</v>
      </c>
      <c r="AW334" s="23">
        <v>23</v>
      </c>
      <c r="AX334" s="24">
        <v>15</v>
      </c>
      <c r="AY334" s="23">
        <v>23</v>
      </c>
      <c r="AZ334" s="24">
        <v>0</v>
      </c>
      <c r="BA334" s="23">
        <v>12</v>
      </c>
      <c r="BB334" s="24">
        <v>37</v>
      </c>
      <c r="BC334" s="23">
        <v>58</v>
      </c>
      <c r="BD334" s="24">
        <v>37</v>
      </c>
      <c r="BE334" s="23">
        <v>58</v>
      </c>
      <c r="BF334" s="24">
        <v>0</v>
      </c>
      <c r="BG334" s="23">
        <v>12</v>
      </c>
      <c r="BH334" s="24">
        <v>44</v>
      </c>
      <c r="BI334" s="23">
        <v>41</v>
      </c>
      <c r="BJ334" s="24">
        <v>44</v>
      </c>
      <c r="BK334" s="23">
        <v>41</v>
      </c>
      <c r="BL334" s="24">
        <v>0</v>
      </c>
      <c r="BM334" s="20">
        <v>12</v>
      </c>
      <c r="BN334" s="19">
        <v>48</v>
      </c>
      <c r="BO334" s="23">
        <v>40</v>
      </c>
      <c r="BP334" s="24">
        <v>0</v>
      </c>
      <c r="BQ334" s="23">
        <v>12</v>
      </c>
      <c r="BR334" s="24">
        <v>0</v>
      </c>
      <c r="BS334" s="23">
        <v>12</v>
      </c>
      <c r="BT334" s="26">
        <v>0</v>
      </c>
      <c r="BU334" s="23">
        <v>12</v>
      </c>
      <c r="BV334" s="24">
        <v>48</v>
      </c>
      <c r="BW334" s="23">
        <v>40</v>
      </c>
      <c r="BX334" s="24">
        <v>48</v>
      </c>
      <c r="BY334" s="23">
        <v>40</v>
      </c>
      <c r="BZ334" s="24">
        <v>0</v>
      </c>
      <c r="CA334" s="23">
        <v>12</v>
      </c>
      <c r="CB334" s="24">
        <v>0</v>
      </c>
      <c r="CC334" s="23">
        <v>12</v>
      </c>
      <c r="CD334" s="24">
        <v>0</v>
      </c>
      <c r="CE334" s="23">
        <v>12</v>
      </c>
      <c r="CF334" s="24">
        <v>0</v>
      </c>
      <c r="CG334" s="20">
        <v>12</v>
      </c>
    </row>
    <row r="335" spans="1:85" x14ac:dyDescent="0.3">
      <c r="A335" t="s">
        <v>669</v>
      </c>
      <c r="B335">
        <v>21651</v>
      </c>
      <c r="C335" t="s">
        <v>670</v>
      </c>
      <c r="D335" s="19">
        <v>2961</v>
      </c>
      <c r="E335" s="20">
        <v>387</v>
      </c>
      <c r="F335" s="19">
        <v>377</v>
      </c>
      <c r="G335" s="23">
        <v>254</v>
      </c>
      <c r="H335" s="24">
        <v>119</v>
      </c>
      <c r="I335" s="23">
        <v>127</v>
      </c>
      <c r="J335" s="24">
        <v>119</v>
      </c>
      <c r="K335" s="23">
        <v>127</v>
      </c>
      <c r="L335" s="24">
        <v>0</v>
      </c>
      <c r="M335" s="23">
        <v>24</v>
      </c>
      <c r="N335" s="24">
        <v>233</v>
      </c>
      <c r="O335" s="23">
        <v>166</v>
      </c>
      <c r="P335" s="24">
        <v>87</v>
      </c>
      <c r="Q335" s="23">
        <v>87</v>
      </c>
      <c r="R335" s="24">
        <v>146</v>
      </c>
      <c r="S335" s="23">
        <v>131</v>
      </c>
      <c r="T335" s="24">
        <v>25</v>
      </c>
      <c r="U335" s="23">
        <v>31</v>
      </c>
      <c r="V335" s="24">
        <v>25</v>
      </c>
      <c r="W335" s="23">
        <v>31</v>
      </c>
      <c r="X335" s="24">
        <v>0</v>
      </c>
      <c r="Y335" s="20">
        <v>24</v>
      </c>
      <c r="Z335" s="19">
        <v>275</v>
      </c>
      <c r="AA335" s="23">
        <v>136</v>
      </c>
      <c r="AB335" s="24">
        <v>25</v>
      </c>
      <c r="AC335" s="23">
        <v>40</v>
      </c>
      <c r="AD335" s="24">
        <v>25</v>
      </c>
      <c r="AE335" s="23">
        <v>40</v>
      </c>
      <c r="AF335" s="24">
        <v>0</v>
      </c>
      <c r="AG335" s="23">
        <v>12</v>
      </c>
      <c r="AH335" s="24">
        <v>203</v>
      </c>
      <c r="AI335" s="23">
        <v>116</v>
      </c>
      <c r="AJ335" s="24">
        <v>167</v>
      </c>
      <c r="AK335" s="23">
        <v>108</v>
      </c>
      <c r="AL335" s="24">
        <v>36</v>
      </c>
      <c r="AM335" s="23">
        <v>42</v>
      </c>
      <c r="AN335" s="24">
        <v>47</v>
      </c>
      <c r="AO335" s="23">
        <v>35</v>
      </c>
      <c r="AP335" s="24">
        <v>47</v>
      </c>
      <c r="AQ335" s="23">
        <v>35</v>
      </c>
      <c r="AR335" s="24">
        <v>0</v>
      </c>
      <c r="AS335" s="20">
        <v>12</v>
      </c>
      <c r="AT335" s="19">
        <v>1199</v>
      </c>
      <c r="AU335" s="23">
        <v>290</v>
      </c>
      <c r="AV335" s="24">
        <v>259</v>
      </c>
      <c r="AW335" s="23">
        <v>114</v>
      </c>
      <c r="AX335" s="24">
        <v>259</v>
      </c>
      <c r="AY335" s="23">
        <v>114</v>
      </c>
      <c r="AZ335" s="24">
        <v>0</v>
      </c>
      <c r="BA335" s="23">
        <v>12</v>
      </c>
      <c r="BB335" s="24">
        <v>712</v>
      </c>
      <c r="BC335" s="23">
        <v>197</v>
      </c>
      <c r="BD335" s="24">
        <v>682</v>
      </c>
      <c r="BE335" s="23">
        <v>199</v>
      </c>
      <c r="BF335" s="24">
        <v>30</v>
      </c>
      <c r="BG335" s="23">
        <v>25</v>
      </c>
      <c r="BH335" s="24">
        <v>228</v>
      </c>
      <c r="BI335" s="23">
        <v>72</v>
      </c>
      <c r="BJ335" s="24">
        <v>228</v>
      </c>
      <c r="BK335" s="23">
        <v>72</v>
      </c>
      <c r="BL335" s="24">
        <v>0</v>
      </c>
      <c r="BM335" s="20">
        <v>12</v>
      </c>
      <c r="BN335" s="19">
        <v>1110</v>
      </c>
      <c r="BO335" s="23">
        <v>297</v>
      </c>
      <c r="BP335" s="24">
        <v>149</v>
      </c>
      <c r="BQ335" s="23">
        <v>90</v>
      </c>
      <c r="BR335" s="24">
        <v>119</v>
      </c>
      <c r="BS335" s="23">
        <v>76</v>
      </c>
      <c r="BT335" s="26">
        <v>30</v>
      </c>
      <c r="BU335" s="23">
        <v>46</v>
      </c>
      <c r="BV335" s="24">
        <v>815</v>
      </c>
      <c r="BW335" s="23">
        <v>223</v>
      </c>
      <c r="BX335" s="24">
        <v>714</v>
      </c>
      <c r="BY335" s="23">
        <v>215</v>
      </c>
      <c r="BZ335" s="24">
        <v>101</v>
      </c>
      <c r="CA335" s="23">
        <v>78</v>
      </c>
      <c r="CB335" s="24">
        <v>146</v>
      </c>
      <c r="CC335" s="23">
        <v>69</v>
      </c>
      <c r="CD335" s="24">
        <v>146</v>
      </c>
      <c r="CE335" s="23">
        <v>69</v>
      </c>
      <c r="CF335" s="24">
        <v>0</v>
      </c>
      <c r="CG335" s="20">
        <v>12</v>
      </c>
    </row>
    <row r="336" spans="1:85" x14ac:dyDescent="0.3">
      <c r="A336" t="s">
        <v>671</v>
      </c>
      <c r="B336">
        <v>21652</v>
      </c>
      <c r="C336" t="s">
        <v>672</v>
      </c>
      <c r="D336" s="19">
        <v>125</v>
      </c>
      <c r="E336" s="20">
        <v>57</v>
      </c>
      <c r="F336" s="19">
        <v>8</v>
      </c>
      <c r="G336" s="23">
        <v>25</v>
      </c>
      <c r="H336" s="24">
        <v>0</v>
      </c>
      <c r="I336" s="23">
        <v>24</v>
      </c>
      <c r="J336" s="24">
        <v>0</v>
      </c>
      <c r="K336" s="23">
        <v>24</v>
      </c>
      <c r="L336" s="24">
        <v>0</v>
      </c>
      <c r="M336" s="23">
        <v>24</v>
      </c>
      <c r="N336" s="24">
        <v>8</v>
      </c>
      <c r="O336" s="23">
        <v>25</v>
      </c>
      <c r="P336" s="24">
        <v>8</v>
      </c>
      <c r="Q336" s="23">
        <v>25</v>
      </c>
      <c r="R336" s="24">
        <v>0</v>
      </c>
      <c r="S336" s="23">
        <v>24</v>
      </c>
      <c r="T336" s="24">
        <v>0</v>
      </c>
      <c r="U336" s="23">
        <v>24</v>
      </c>
      <c r="V336" s="24">
        <v>0</v>
      </c>
      <c r="W336" s="23">
        <v>24</v>
      </c>
      <c r="X336" s="24">
        <v>0</v>
      </c>
      <c r="Y336" s="20">
        <v>24</v>
      </c>
      <c r="Z336" s="19">
        <v>0</v>
      </c>
      <c r="AA336" s="23">
        <v>12</v>
      </c>
      <c r="AB336" s="24">
        <v>0</v>
      </c>
      <c r="AC336" s="23">
        <v>12</v>
      </c>
      <c r="AD336" s="24">
        <v>0</v>
      </c>
      <c r="AE336" s="23">
        <v>12</v>
      </c>
      <c r="AF336" s="24">
        <v>0</v>
      </c>
      <c r="AG336" s="23">
        <v>12</v>
      </c>
      <c r="AH336" s="24">
        <v>0</v>
      </c>
      <c r="AI336" s="23">
        <v>12</v>
      </c>
      <c r="AJ336" s="24">
        <v>0</v>
      </c>
      <c r="AK336" s="23">
        <v>12</v>
      </c>
      <c r="AL336" s="24">
        <v>0</v>
      </c>
      <c r="AM336" s="23">
        <v>12</v>
      </c>
      <c r="AN336" s="24">
        <v>0</v>
      </c>
      <c r="AO336" s="23">
        <v>12</v>
      </c>
      <c r="AP336" s="24">
        <v>0</v>
      </c>
      <c r="AQ336" s="23">
        <v>12</v>
      </c>
      <c r="AR336" s="24">
        <v>0</v>
      </c>
      <c r="AS336" s="20">
        <v>12</v>
      </c>
      <c r="AT336" s="19">
        <v>9</v>
      </c>
      <c r="AU336" s="23">
        <v>14</v>
      </c>
      <c r="AV336" s="24">
        <v>0</v>
      </c>
      <c r="AW336" s="23">
        <v>12</v>
      </c>
      <c r="AX336" s="24">
        <v>0</v>
      </c>
      <c r="AY336" s="23">
        <v>12</v>
      </c>
      <c r="AZ336" s="24">
        <v>0</v>
      </c>
      <c r="BA336" s="23">
        <v>12</v>
      </c>
      <c r="BB336" s="24">
        <v>0</v>
      </c>
      <c r="BC336" s="23">
        <v>12</v>
      </c>
      <c r="BD336" s="24">
        <v>0</v>
      </c>
      <c r="BE336" s="23">
        <v>12</v>
      </c>
      <c r="BF336" s="24">
        <v>0</v>
      </c>
      <c r="BG336" s="23">
        <v>12</v>
      </c>
      <c r="BH336" s="24">
        <v>9</v>
      </c>
      <c r="BI336" s="23">
        <v>14</v>
      </c>
      <c r="BJ336" s="24">
        <v>9</v>
      </c>
      <c r="BK336" s="23">
        <v>14</v>
      </c>
      <c r="BL336" s="24">
        <v>0</v>
      </c>
      <c r="BM336" s="20">
        <v>12</v>
      </c>
      <c r="BN336" s="19">
        <v>108</v>
      </c>
      <c r="BO336" s="23">
        <v>60</v>
      </c>
      <c r="BP336" s="24">
        <v>0</v>
      </c>
      <c r="BQ336" s="23">
        <v>12</v>
      </c>
      <c r="BR336" s="24">
        <v>0</v>
      </c>
      <c r="BS336" s="23">
        <v>12</v>
      </c>
      <c r="BT336" s="26">
        <v>0</v>
      </c>
      <c r="BU336" s="23">
        <v>12</v>
      </c>
      <c r="BV336" s="24">
        <v>9</v>
      </c>
      <c r="BW336" s="23">
        <v>13</v>
      </c>
      <c r="BX336" s="24">
        <v>9</v>
      </c>
      <c r="BY336" s="23">
        <v>13</v>
      </c>
      <c r="BZ336" s="24">
        <v>0</v>
      </c>
      <c r="CA336" s="23">
        <v>12</v>
      </c>
      <c r="CB336" s="24">
        <v>99</v>
      </c>
      <c r="CC336" s="23">
        <v>58</v>
      </c>
      <c r="CD336" s="24">
        <v>99</v>
      </c>
      <c r="CE336" s="23">
        <v>58</v>
      </c>
      <c r="CF336" s="24">
        <v>0</v>
      </c>
      <c r="CG336" s="20">
        <v>12</v>
      </c>
    </row>
    <row r="337" spans="1:85" x14ac:dyDescent="0.3">
      <c r="A337" t="s">
        <v>673</v>
      </c>
      <c r="B337">
        <v>21653</v>
      </c>
      <c r="C337" t="s">
        <v>674</v>
      </c>
      <c r="D337" s="19">
        <v>91</v>
      </c>
      <c r="E337" s="20">
        <v>43</v>
      </c>
      <c r="F337" s="19">
        <v>0</v>
      </c>
      <c r="G337" s="23">
        <v>24</v>
      </c>
      <c r="H337" s="24">
        <v>0</v>
      </c>
      <c r="I337" s="23">
        <v>24</v>
      </c>
      <c r="J337" s="24">
        <v>0</v>
      </c>
      <c r="K337" s="23">
        <v>24</v>
      </c>
      <c r="L337" s="24">
        <v>0</v>
      </c>
      <c r="M337" s="23">
        <v>24</v>
      </c>
      <c r="N337" s="24">
        <v>0</v>
      </c>
      <c r="O337" s="23">
        <v>24</v>
      </c>
      <c r="P337" s="24">
        <v>0</v>
      </c>
      <c r="Q337" s="23">
        <v>24</v>
      </c>
      <c r="R337" s="24">
        <v>0</v>
      </c>
      <c r="S337" s="23">
        <v>24</v>
      </c>
      <c r="T337" s="24">
        <v>0</v>
      </c>
      <c r="U337" s="23">
        <v>24</v>
      </c>
      <c r="V337" s="24">
        <v>0</v>
      </c>
      <c r="W337" s="23">
        <v>24</v>
      </c>
      <c r="X337" s="24">
        <v>0</v>
      </c>
      <c r="Y337" s="20">
        <v>24</v>
      </c>
      <c r="Z337" s="19">
        <v>0</v>
      </c>
      <c r="AA337" s="23">
        <v>12</v>
      </c>
      <c r="AB337" s="24">
        <v>0</v>
      </c>
      <c r="AC337" s="23">
        <v>12</v>
      </c>
      <c r="AD337" s="24">
        <v>0</v>
      </c>
      <c r="AE337" s="23">
        <v>12</v>
      </c>
      <c r="AF337" s="24">
        <v>0</v>
      </c>
      <c r="AG337" s="23">
        <v>12</v>
      </c>
      <c r="AH337" s="24">
        <v>0</v>
      </c>
      <c r="AI337" s="23">
        <v>12</v>
      </c>
      <c r="AJ337" s="24">
        <v>0</v>
      </c>
      <c r="AK337" s="23">
        <v>12</v>
      </c>
      <c r="AL337" s="24">
        <v>0</v>
      </c>
      <c r="AM337" s="23">
        <v>12</v>
      </c>
      <c r="AN337" s="24">
        <v>0</v>
      </c>
      <c r="AO337" s="23">
        <v>12</v>
      </c>
      <c r="AP337" s="24">
        <v>0</v>
      </c>
      <c r="AQ337" s="23">
        <v>12</v>
      </c>
      <c r="AR337" s="24">
        <v>0</v>
      </c>
      <c r="AS337" s="20">
        <v>12</v>
      </c>
      <c r="AT337" s="19">
        <v>24</v>
      </c>
      <c r="AU337" s="23">
        <v>25</v>
      </c>
      <c r="AV337" s="24">
        <v>0</v>
      </c>
      <c r="AW337" s="23">
        <v>12</v>
      </c>
      <c r="AX337" s="24">
        <v>0</v>
      </c>
      <c r="AY337" s="23">
        <v>12</v>
      </c>
      <c r="AZ337" s="24">
        <v>0</v>
      </c>
      <c r="BA337" s="23">
        <v>12</v>
      </c>
      <c r="BB337" s="24">
        <v>14</v>
      </c>
      <c r="BC337" s="23">
        <v>22</v>
      </c>
      <c r="BD337" s="24">
        <v>14</v>
      </c>
      <c r="BE337" s="23">
        <v>22</v>
      </c>
      <c r="BF337" s="24">
        <v>0</v>
      </c>
      <c r="BG337" s="23">
        <v>12</v>
      </c>
      <c r="BH337" s="24">
        <v>10</v>
      </c>
      <c r="BI337" s="23">
        <v>11</v>
      </c>
      <c r="BJ337" s="24">
        <v>10</v>
      </c>
      <c r="BK337" s="23">
        <v>11</v>
      </c>
      <c r="BL337" s="24">
        <v>0</v>
      </c>
      <c r="BM337" s="20">
        <v>12</v>
      </c>
      <c r="BN337" s="19">
        <v>67</v>
      </c>
      <c r="BO337" s="23">
        <v>32</v>
      </c>
      <c r="BP337" s="24">
        <v>0</v>
      </c>
      <c r="BQ337" s="23">
        <v>12</v>
      </c>
      <c r="BR337" s="24">
        <v>0</v>
      </c>
      <c r="BS337" s="23">
        <v>12</v>
      </c>
      <c r="BT337" s="26">
        <v>0</v>
      </c>
      <c r="BU337" s="23">
        <v>12</v>
      </c>
      <c r="BV337" s="24">
        <v>36</v>
      </c>
      <c r="BW337" s="23">
        <v>29</v>
      </c>
      <c r="BX337" s="24">
        <v>30</v>
      </c>
      <c r="BY337" s="23">
        <v>24</v>
      </c>
      <c r="BZ337" s="24">
        <v>6</v>
      </c>
      <c r="CA337" s="23">
        <v>9</v>
      </c>
      <c r="CB337" s="24">
        <v>31</v>
      </c>
      <c r="CC337" s="23">
        <v>29</v>
      </c>
      <c r="CD337" s="24">
        <v>31</v>
      </c>
      <c r="CE337" s="23">
        <v>29</v>
      </c>
      <c r="CF337" s="24">
        <v>0</v>
      </c>
      <c r="CG337" s="20">
        <v>12</v>
      </c>
    </row>
    <row r="338" spans="1:85" x14ac:dyDescent="0.3">
      <c r="A338" t="s">
        <v>675</v>
      </c>
      <c r="B338">
        <v>21654</v>
      </c>
      <c r="C338" t="s">
        <v>676</v>
      </c>
      <c r="D338" s="19">
        <v>1037</v>
      </c>
      <c r="E338" s="20">
        <v>182</v>
      </c>
      <c r="F338" s="19">
        <v>90</v>
      </c>
      <c r="G338" s="23">
        <v>69</v>
      </c>
      <c r="H338" s="24">
        <v>13</v>
      </c>
      <c r="I338" s="23">
        <v>32</v>
      </c>
      <c r="J338" s="24">
        <v>13</v>
      </c>
      <c r="K338" s="23">
        <v>32</v>
      </c>
      <c r="L338" s="24">
        <v>0</v>
      </c>
      <c r="M338" s="23">
        <v>24</v>
      </c>
      <c r="N338" s="24">
        <v>42</v>
      </c>
      <c r="O338" s="23">
        <v>41</v>
      </c>
      <c r="P338" s="24">
        <v>42</v>
      </c>
      <c r="Q338" s="23">
        <v>41</v>
      </c>
      <c r="R338" s="24">
        <v>0</v>
      </c>
      <c r="S338" s="23">
        <v>24</v>
      </c>
      <c r="T338" s="24">
        <v>35</v>
      </c>
      <c r="U338" s="23">
        <v>39</v>
      </c>
      <c r="V338" s="24">
        <v>35</v>
      </c>
      <c r="W338" s="23">
        <v>39</v>
      </c>
      <c r="X338" s="24">
        <v>0</v>
      </c>
      <c r="Y338" s="20">
        <v>24</v>
      </c>
      <c r="Z338" s="19">
        <v>151</v>
      </c>
      <c r="AA338" s="23">
        <v>100</v>
      </c>
      <c r="AB338" s="24">
        <v>32</v>
      </c>
      <c r="AC338" s="23">
        <v>35</v>
      </c>
      <c r="AD338" s="24">
        <v>32</v>
      </c>
      <c r="AE338" s="23">
        <v>35</v>
      </c>
      <c r="AF338" s="24">
        <v>0</v>
      </c>
      <c r="AG338" s="23">
        <v>12</v>
      </c>
      <c r="AH338" s="24">
        <v>63</v>
      </c>
      <c r="AI338" s="23">
        <v>51</v>
      </c>
      <c r="AJ338" s="24">
        <v>47</v>
      </c>
      <c r="AK338" s="23">
        <v>42</v>
      </c>
      <c r="AL338" s="24">
        <v>16</v>
      </c>
      <c r="AM338" s="23">
        <v>27</v>
      </c>
      <c r="AN338" s="24">
        <v>56</v>
      </c>
      <c r="AO338" s="23">
        <v>35</v>
      </c>
      <c r="AP338" s="24">
        <v>56</v>
      </c>
      <c r="AQ338" s="23">
        <v>35</v>
      </c>
      <c r="AR338" s="24">
        <v>0</v>
      </c>
      <c r="AS338" s="20">
        <v>12</v>
      </c>
      <c r="AT338" s="19">
        <v>177</v>
      </c>
      <c r="AU338" s="23">
        <v>71</v>
      </c>
      <c r="AV338" s="24">
        <v>12</v>
      </c>
      <c r="AW338" s="23">
        <v>10</v>
      </c>
      <c r="AX338" s="24">
        <v>12</v>
      </c>
      <c r="AY338" s="23">
        <v>10</v>
      </c>
      <c r="AZ338" s="24">
        <v>0</v>
      </c>
      <c r="BA338" s="23">
        <v>12</v>
      </c>
      <c r="BB338" s="24">
        <v>70</v>
      </c>
      <c r="BC338" s="23">
        <v>32</v>
      </c>
      <c r="BD338" s="24">
        <v>68</v>
      </c>
      <c r="BE338" s="23">
        <v>31</v>
      </c>
      <c r="BF338" s="24">
        <v>2</v>
      </c>
      <c r="BG338" s="23">
        <v>3</v>
      </c>
      <c r="BH338" s="24">
        <v>95</v>
      </c>
      <c r="BI338" s="23">
        <v>45</v>
      </c>
      <c r="BJ338" s="24">
        <v>95</v>
      </c>
      <c r="BK338" s="23">
        <v>45</v>
      </c>
      <c r="BL338" s="24">
        <v>0</v>
      </c>
      <c r="BM338" s="20">
        <v>12</v>
      </c>
      <c r="BN338" s="19">
        <v>619</v>
      </c>
      <c r="BO338" s="23">
        <v>138</v>
      </c>
      <c r="BP338" s="24">
        <v>27</v>
      </c>
      <c r="BQ338" s="23">
        <v>28</v>
      </c>
      <c r="BR338" s="24">
        <v>27</v>
      </c>
      <c r="BS338" s="23">
        <v>28</v>
      </c>
      <c r="BT338" s="26">
        <v>0</v>
      </c>
      <c r="BU338" s="23">
        <v>12</v>
      </c>
      <c r="BV338" s="24">
        <v>278</v>
      </c>
      <c r="BW338" s="23">
        <v>92</v>
      </c>
      <c r="BX338" s="24">
        <v>278</v>
      </c>
      <c r="BY338" s="23">
        <v>92</v>
      </c>
      <c r="BZ338" s="24">
        <v>0</v>
      </c>
      <c r="CA338" s="23">
        <v>12</v>
      </c>
      <c r="CB338" s="24">
        <v>314</v>
      </c>
      <c r="CC338" s="23">
        <v>76</v>
      </c>
      <c r="CD338" s="24">
        <v>314</v>
      </c>
      <c r="CE338" s="23">
        <v>76</v>
      </c>
      <c r="CF338" s="24">
        <v>0</v>
      </c>
      <c r="CG338" s="20">
        <v>12</v>
      </c>
    </row>
    <row r="339" spans="1:85" x14ac:dyDescent="0.3">
      <c r="A339" t="s">
        <v>677</v>
      </c>
      <c r="B339">
        <v>21655</v>
      </c>
      <c r="C339" t="s">
        <v>678</v>
      </c>
      <c r="D339" s="19">
        <v>5382</v>
      </c>
      <c r="E339" s="20">
        <v>376</v>
      </c>
      <c r="F339" s="19">
        <v>600</v>
      </c>
      <c r="G339" s="23">
        <v>280</v>
      </c>
      <c r="H339" s="24">
        <v>118</v>
      </c>
      <c r="I339" s="23">
        <v>115</v>
      </c>
      <c r="J339" s="24">
        <v>118</v>
      </c>
      <c r="K339" s="23">
        <v>115</v>
      </c>
      <c r="L339" s="24">
        <v>0</v>
      </c>
      <c r="M339" s="23">
        <v>34</v>
      </c>
      <c r="N339" s="24">
        <v>397</v>
      </c>
      <c r="O339" s="23">
        <v>186</v>
      </c>
      <c r="P339" s="24">
        <v>353</v>
      </c>
      <c r="Q339" s="23">
        <v>153</v>
      </c>
      <c r="R339" s="24">
        <v>44</v>
      </c>
      <c r="S339" s="23">
        <v>58</v>
      </c>
      <c r="T339" s="24">
        <v>85</v>
      </c>
      <c r="U339" s="23">
        <v>106</v>
      </c>
      <c r="V339" s="24">
        <v>85</v>
      </c>
      <c r="W339" s="23">
        <v>106</v>
      </c>
      <c r="X339" s="24">
        <v>0</v>
      </c>
      <c r="Y339" s="20">
        <v>34</v>
      </c>
      <c r="Z339" s="19">
        <v>614</v>
      </c>
      <c r="AA339" s="23">
        <v>253</v>
      </c>
      <c r="AB339" s="24">
        <v>148</v>
      </c>
      <c r="AC339" s="23">
        <v>110</v>
      </c>
      <c r="AD339" s="24">
        <v>148</v>
      </c>
      <c r="AE339" s="23">
        <v>110</v>
      </c>
      <c r="AF339" s="24">
        <v>0</v>
      </c>
      <c r="AG339" s="23">
        <v>17</v>
      </c>
      <c r="AH339" s="24">
        <v>346</v>
      </c>
      <c r="AI339" s="23">
        <v>173</v>
      </c>
      <c r="AJ339" s="24">
        <v>329</v>
      </c>
      <c r="AK339" s="23">
        <v>168</v>
      </c>
      <c r="AL339" s="24">
        <v>17</v>
      </c>
      <c r="AM339" s="23">
        <v>20</v>
      </c>
      <c r="AN339" s="24">
        <v>120</v>
      </c>
      <c r="AO339" s="23">
        <v>59</v>
      </c>
      <c r="AP339" s="24">
        <v>120</v>
      </c>
      <c r="AQ339" s="23">
        <v>59</v>
      </c>
      <c r="AR339" s="24">
        <v>0</v>
      </c>
      <c r="AS339" s="20">
        <v>17</v>
      </c>
      <c r="AT339" s="19">
        <v>2074</v>
      </c>
      <c r="AU339" s="23">
        <v>336</v>
      </c>
      <c r="AV339" s="24">
        <v>555</v>
      </c>
      <c r="AW339" s="23">
        <v>136</v>
      </c>
      <c r="AX339" s="24">
        <v>551</v>
      </c>
      <c r="AY339" s="23">
        <v>135</v>
      </c>
      <c r="AZ339" s="24">
        <v>4</v>
      </c>
      <c r="BA339" s="23">
        <v>8</v>
      </c>
      <c r="BB339" s="24">
        <v>1238</v>
      </c>
      <c r="BC339" s="23">
        <v>246</v>
      </c>
      <c r="BD339" s="24">
        <v>1151</v>
      </c>
      <c r="BE339" s="23">
        <v>254</v>
      </c>
      <c r="BF339" s="24">
        <v>87</v>
      </c>
      <c r="BG339" s="23">
        <v>60</v>
      </c>
      <c r="BH339" s="24">
        <v>281</v>
      </c>
      <c r="BI339" s="23">
        <v>81</v>
      </c>
      <c r="BJ339" s="24">
        <v>271</v>
      </c>
      <c r="BK339" s="23">
        <v>77</v>
      </c>
      <c r="BL339" s="24">
        <v>10</v>
      </c>
      <c r="BM339" s="20">
        <v>16</v>
      </c>
      <c r="BN339" s="19">
        <v>2094</v>
      </c>
      <c r="BO339" s="23">
        <v>375</v>
      </c>
      <c r="BP339" s="24">
        <v>336</v>
      </c>
      <c r="BQ339" s="23">
        <v>123</v>
      </c>
      <c r="BR339" s="24">
        <v>336</v>
      </c>
      <c r="BS339" s="23">
        <v>123</v>
      </c>
      <c r="BT339" s="26">
        <v>0</v>
      </c>
      <c r="BU339" s="23">
        <v>17</v>
      </c>
      <c r="BV339" s="24">
        <v>1429</v>
      </c>
      <c r="BW339" s="23">
        <v>284</v>
      </c>
      <c r="BX339" s="24">
        <v>1289</v>
      </c>
      <c r="BY339" s="23">
        <v>245</v>
      </c>
      <c r="BZ339" s="24">
        <v>140</v>
      </c>
      <c r="CA339" s="23">
        <v>104</v>
      </c>
      <c r="CB339" s="24">
        <v>329</v>
      </c>
      <c r="CC339" s="23">
        <v>123</v>
      </c>
      <c r="CD339" s="24">
        <v>329</v>
      </c>
      <c r="CE339" s="23">
        <v>123</v>
      </c>
      <c r="CF339" s="24">
        <v>0</v>
      </c>
      <c r="CG339" s="20">
        <v>17</v>
      </c>
    </row>
    <row r="340" spans="1:85" x14ac:dyDescent="0.3">
      <c r="A340" t="s">
        <v>679</v>
      </c>
      <c r="B340">
        <v>21657</v>
      </c>
      <c r="C340" t="s">
        <v>680</v>
      </c>
      <c r="D340" s="19">
        <v>898</v>
      </c>
      <c r="E340" s="20">
        <v>252</v>
      </c>
      <c r="F340" s="19">
        <v>15</v>
      </c>
      <c r="G340" s="23">
        <v>25</v>
      </c>
      <c r="H340" s="24">
        <v>0</v>
      </c>
      <c r="I340" s="23">
        <v>24</v>
      </c>
      <c r="J340" s="24">
        <v>0</v>
      </c>
      <c r="K340" s="23">
        <v>24</v>
      </c>
      <c r="L340" s="24">
        <v>0</v>
      </c>
      <c r="M340" s="23">
        <v>24</v>
      </c>
      <c r="N340" s="24">
        <v>2</v>
      </c>
      <c r="O340" s="23">
        <v>15</v>
      </c>
      <c r="P340" s="24">
        <v>2</v>
      </c>
      <c r="Q340" s="23">
        <v>15</v>
      </c>
      <c r="R340" s="24">
        <v>0</v>
      </c>
      <c r="S340" s="23">
        <v>24</v>
      </c>
      <c r="T340" s="24">
        <v>13</v>
      </c>
      <c r="U340" s="23">
        <v>25</v>
      </c>
      <c r="V340" s="24">
        <v>13</v>
      </c>
      <c r="W340" s="23">
        <v>25</v>
      </c>
      <c r="X340" s="24">
        <v>0</v>
      </c>
      <c r="Y340" s="20">
        <v>24</v>
      </c>
      <c r="Z340" s="19">
        <v>43</v>
      </c>
      <c r="AA340" s="23">
        <v>54</v>
      </c>
      <c r="AB340" s="24">
        <v>11</v>
      </c>
      <c r="AC340" s="23">
        <v>17</v>
      </c>
      <c r="AD340" s="24">
        <v>11</v>
      </c>
      <c r="AE340" s="23">
        <v>17</v>
      </c>
      <c r="AF340" s="24">
        <v>0</v>
      </c>
      <c r="AG340" s="23">
        <v>12</v>
      </c>
      <c r="AH340" s="24">
        <v>23</v>
      </c>
      <c r="AI340" s="23">
        <v>34</v>
      </c>
      <c r="AJ340" s="24">
        <v>23</v>
      </c>
      <c r="AK340" s="23">
        <v>34</v>
      </c>
      <c r="AL340" s="24">
        <v>0</v>
      </c>
      <c r="AM340" s="23">
        <v>12</v>
      </c>
      <c r="AN340" s="24">
        <v>9</v>
      </c>
      <c r="AO340" s="23">
        <v>16</v>
      </c>
      <c r="AP340" s="24">
        <v>9</v>
      </c>
      <c r="AQ340" s="23">
        <v>16</v>
      </c>
      <c r="AR340" s="24">
        <v>0</v>
      </c>
      <c r="AS340" s="20">
        <v>12</v>
      </c>
      <c r="AT340" s="19">
        <v>372</v>
      </c>
      <c r="AU340" s="23">
        <v>251</v>
      </c>
      <c r="AV340" s="24">
        <v>82</v>
      </c>
      <c r="AW340" s="23">
        <v>68</v>
      </c>
      <c r="AX340" s="24">
        <v>82</v>
      </c>
      <c r="AY340" s="23">
        <v>68</v>
      </c>
      <c r="AZ340" s="24">
        <v>0</v>
      </c>
      <c r="BA340" s="23">
        <v>12</v>
      </c>
      <c r="BB340" s="24">
        <v>241</v>
      </c>
      <c r="BC340" s="23">
        <v>218</v>
      </c>
      <c r="BD340" s="24">
        <v>172</v>
      </c>
      <c r="BE340" s="23">
        <v>129</v>
      </c>
      <c r="BF340" s="24">
        <v>69</v>
      </c>
      <c r="BG340" s="23">
        <v>98</v>
      </c>
      <c r="BH340" s="24">
        <v>49</v>
      </c>
      <c r="BI340" s="23">
        <v>53</v>
      </c>
      <c r="BJ340" s="24">
        <v>49</v>
      </c>
      <c r="BK340" s="23">
        <v>53</v>
      </c>
      <c r="BL340" s="24">
        <v>0</v>
      </c>
      <c r="BM340" s="20">
        <v>12</v>
      </c>
      <c r="BN340" s="19">
        <v>468</v>
      </c>
      <c r="BO340" s="23">
        <v>196</v>
      </c>
      <c r="BP340" s="24">
        <v>82</v>
      </c>
      <c r="BQ340" s="23">
        <v>55</v>
      </c>
      <c r="BR340" s="24">
        <v>82</v>
      </c>
      <c r="BS340" s="23">
        <v>55</v>
      </c>
      <c r="BT340" s="26">
        <v>0</v>
      </c>
      <c r="BU340" s="23">
        <v>12</v>
      </c>
      <c r="BV340" s="24">
        <v>336</v>
      </c>
      <c r="BW340" s="23">
        <v>127</v>
      </c>
      <c r="BX340" s="24">
        <v>321</v>
      </c>
      <c r="BY340" s="23">
        <v>121</v>
      </c>
      <c r="BZ340" s="24">
        <v>15</v>
      </c>
      <c r="CA340" s="23">
        <v>23</v>
      </c>
      <c r="CB340" s="24">
        <v>50</v>
      </c>
      <c r="CC340" s="23">
        <v>57</v>
      </c>
      <c r="CD340" s="24">
        <v>50</v>
      </c>
      <c r="CE340" s="23">
        <v>57</v>
      </c>
      <c r="CF340" s="24">
        <v>0</v>
      </c>
      <c r="CG340" s="20">
        <v>12</v>
      </c>
    </row>
    <row r="341" spans="1:85" x14ac:dyDescent="0.3">
      <c r="A341" t="s">
        <v>681</v>
      </c>
      <c r="B341">
        <v>21658</v>
      </c>
      <c r="C341" t="s">
        <v>682</v>
      </c>
      <c r="D341" s="19">
        <v>3783</v>
      </c>
      <c r="E341" s="20">
        <v>484</v>
      </c>
      <c r="F341" s="19">
        <v>285</v>
      </c>
      <c r="G341" s="23">
        <v>153</v>
      </c>
      <c r="H341" s="24">
        <v>49</v>
      </c>
      <c r="I341" s="23">
        <v>46</v>
      </c>
      <c r="J341" s="24">
        <v>49</v>
      </c>
      <c r="K341" s="23">
        <v>46</v>
      </c>
      <c r="L341" s="24">
        <v>0</v>
      </c>
      <c r="M341" s="23">
        <v>24</v>
      </c>
      <c r="N341" s="24">
        <v>146</v>
      </c>
      <c r="O341" s="23">
        <v>102</v>
      </c>
      <c r="P341" s="24">
        <v>94</v>
      </c>
      <c r="Q341" s="23">
        <v>69</v>
      </c>
      <c r="R341" s="24">
        <v>52</v>
      </c>
      <c r="S341" s="23">
        <v>64</v>
      </c>
      <c r="T341" s="24">
        <v>90</v>
      </c>
      <c r="U341" s="23">
        <v>73</v>
      </c>
      <c r="V341" s="24">
        <v>90</v>
      </c>
      <c r="W341" s="23">
        <v>73</v>
      </c>
      <c r="X341" s="24">
        <v>0</v>
      </c>
      <c r="Y341" s="20">
        <v>24</v>
      </c>
      <c r="Z341" s="19">
        <v>254</v>
      </c>
      <c r="AA341" s="23">
        <v>146</v>
      </c>
      <c r="AB341" s="24">
        <v>43</v>
      </c>
      <c r="AC341" s="23">
        <v>57</v>
      </c>
      <c r="AD341" s="24">
        <v>43</v>
      </c>
      <c r="AE341" s="23">
        <v>57</v>
      </c>
      <c r="AF341" s="24">
        <v>0</v>
      </c>
      <c r="AG341" s="23">
        <v>12</v>
      </c>
      <c r="AH341" s="24">
        <v>165</v>
      </c>
      <c r="AI341" s="23">
        <v>114</v>
      </c>
      <c r="AJ341" s="24">
        <v>152</v>
      </c>
      <c r="AK341" s="23">
        <v>110</v>
      </c>
      <c r="AL341" s="24">
        <v>13</v>
      </c>
      <c r="AM341" s="23">
        <v>18</v>
      </c>
      <c r="AN341" s="24">
        <v>46</v>
      </c>
      <c r="AO341" s="23">
        <v>34</v>
      </c>
      <c r="AP341" s="24">
        <v>46</v>
      </c>
      <c r="AQ341" s="23">
        <v>34</v>
      </c>
      <c r="AR341" s="24">
        <v>0</v>
      </c>
      <c r="AS341" s="20">
        <v>12</v>
      </c>
      <c r="AT341" s="19">
        <v>857</v>
      </c>
      <c r="AU341" s="23">
        <v>326</v>
      </c>
      <c r="AV341" s="24">
        <v>283</v>
      </c>
      <c r="AW341" s="23">
        <v>206</v>
      </c>
      <c r="AX341" s="24">
        <v>283</v>
      </c>
      <c r="AY341" s="23">
        <v>206</v>
      </c>
      <c r="AZ341" s="24">
        <v>0</v>
      </c>
      <c r="BA341" s="23">
        <v>12</v>
      </c>
      <c r="BB341" s="24">
        <v>413</v>
      </c>
      <c r="BC341" s="23">
        <v>151</v>
      </c>
      <c r="BD341" s="24">
        <v>321</v>
      </c>
      <c r="BE341" s="23">
        <v>154</v>
      </c>
      <c r="BF341" s="24">
        <v>92</v>
      </c>
      <c r="BG341" s="23">
        <v>78</v>
      </c>
      <c r="BH341" s="24">
        <v>161</v>
      </c>
      <c r="BI341" s="23">
        <v>82</v>
      </c>
      <c r="BJ341" s="24">
        <v>161</v>
      </c>
      <c r="BK341" s="23">
        <v>82</v>
      </c>
      <c r="BL341" s="24">
        <v>0</v>
      </c>
      <c r="BM341" s="20">
        <v>12</v>
      </c>
      <c r="BN341" s="19">
        <v>2387</v>
      </c>
      <c r="BO341" s="23">
        <v>357</v>
      </c>
      <c r="BP341" s="24">
        <v>350</v>
      </c>
      <c r="BQ341" s="23">
        <v>119</v>
      </c>
      <c r="BR341" s="24">
        <v>350</v>
      </c>
      <c r="BS341" s="23">
        <v>119</v>
      </c>
      <c r="BT341" s="26">
        <v>0</v>
      </c>
      <c r="BU341" s="23">
        <v>12</v>
      </c>
      <c r="BV341" s="24">
        <v>1478</v>
      </c>
      <c r="BW341" s="23">
        <v>283</v>
      </c>
      <c r="BX341" s="24">
        <v>1397</v>
      </c>
      <c r="BY341" s="23">
        <v>265</v>
      </c>
      <c r="BZ341" s="24">
        <v>81</v>
      </c>
      <c r="CA341" s="23">
        <v>63</v>
      </c>
      <c r="CB341" s="24">
        <v>559</v>
      </c>
      <c r="CC341" s="23">
        <v>128</v>
      </c>
      <c r="CD341" s="24">
        <v>549</v>
      </c>
      <c r="CE341" s="23">
        <v>127</v>
      </c>
      <c r="CF341" s="24">
        <v>10</v>
      </c>
      <c r="CG341" s="20">
        <v>16</v>
      </c>
    </row>
    <row r="342" spans="1:85" x14ac:dyDescent="0.3">
      <c r="A342" t="s">
        <v>683</v>
      </c>
      <c r="B342">
        <v>21659</v>
      </c>
      <c r="C342" t="s">
        <v>684</v>
      </c>
      <c r="D342" s="19">
        <v>1292</v>
      </c>
      <c r="E342" s="20">
        <v>280</v>
      </c>
      <c r="F342" s="19">
        <v>333</v>
      </c>
      <c r="G342" s="23">
        <v>269</v>
      </c>
      <c r="H342" s="24">
        <v>73</v>
      </c>
      <c r="I342" s="23">
        <v>102</v>
      </c>
      <c r="J342" s="24">
        <v>68</v>
      </c>
      <c r="K342" s="23">
        <v>95</v>
      </c>
      <c r="L342" s="24">
        <v>5</v>
      </c>
      <c r="M342" s="23">
        <v>20</v>
      </c>
      <c r="N342" s="24">
        <v>220</v>
      </c>
      <c r="O342" s="23">
        <v>177</v>
      </c>
      <c r="P342" s="24">
        <v>201</v>
      </c>
      <c r="Q342" s="23">
        <v>173</v>
      </c>
      <c r="R342" s="24">
        <v>19</v>
      </c>
      <c r="S342" s="23">
        <v>29</v>
      </c>
      <c r="T342" s="24">
        <v>40</v>
      </c>
      <c r="U342" s="23">
        <v>49</v>
      </c>
      <c r="V342" s="24">
        <v>40</v>
      </c>
      <c r="W342" s="23">
        <v>49</v>
      </c>
      <c r="X342" s="24">
        <v>0</v>
      </c>
      <c r="Y342" s="20">
        <v>24</v>
      </c>
      <c r="Z342" s="19">
        <v>212</v>
      </c>
      <c r="AA342" s="23">
        <v>125</v>
      </c>
      <c r="AB342" s="24">
        <v>52</v>
      </c>
      <c r="AC342" s="23">
        <v>49</v>
      </c>
      <c r="AD342" s="24">
        <v>49</v>
      </c>
      <c r="AE342" s="23">
        <v>49</v>
      </c>
      <c r="AF342" s="24">
        <v>3</v>
      </c>
      <c r="AG342" s="23">
        <v>5</v>
      </c>
      <c r="AH342" s="24">
        <v>129</v>
      </c>
      <c r="AI342" s="23">
        <v>80</v>
      </c>
      <c r="AJ342" s="24">
        <v>125</v>
      </c>
      <c r="AK342" s="23">
        <v>80</v>
      </c>
      <c r="AL342" s="24">
        <v>4</v>
      </c>
      <c r="AM342" s="23">
        <v>5</v>
      </c>
      <c r="AN342" s="24">
        <v>31</v>
      </c>
      <c r="AO342" s="23">
        <v>30</v>
      </c>
      <c r="AP342" s="24">
        <v>31</v>
      </c>
      <c r="AQ342" s="23">
        <v>30</v>
      </c>
      <c r="AR342" s="24">
        <v>0</v>
      </c>
      <c r="AS342" s="20">
        <v>12</v>
      </c>
      <c r="AT342" s="19">
        <v>258</v>
      </c>
      <c r="AU342" s="23">
        <v>123</v>
      </c>
      <c r="AV342" s="24">
        <v>35</v>
      </c>
      <c r="AW342" s="23">
        <v>40</v>
      </c>
      <c r="AX342" s="24">
        <v>10</v>
      </c>
      <c r="AY342" s="23">
        <v>10</v>
      </c>
      <c r="AZ342" s="24">
        <v>25</v>
      </c>
      <c r="BA342" s="23">
        <v>36</v>
      </c>
      <c r="BB342" s="24">
        <v>139</v>
      </c>
      <c r="BC342" s="23">
        <v>84</v>
      </c>
      <c r="BD342" s="24">
        <v>115</v>
      </c>
      <c r="BE342" s="23">
        <v>79</v>
      </c>
      <c r="BF342" s="24">
        <v>24</v>
      </c>
      <c r="BG342" s="23">
        <v>26</v>
      </c>
      <c r="BH342" s="24">
        <v>84</v>
      </c>
      <c r="BI342" s="23">
        <v>48</v>
      </c>
      <c r="BJ342" s="24">
        <v>84</v>
      </c>
      <c r="BK342" s="23">
        <v>48</v>
      </c>
      <c r="BL342" s="24">
        <v>0</v>
      </c>
      <c r="BM342" s="20">
        <v>12</v>
      </c>
      <c r="BN342" s="19">
        <v>489</v>
      </c>
      <c r="BO342" s="23">
        <v>152</v>
      </c>
      <c r="BP342" s="24">
        <v>54</v>
      </c>
      <c r="BQ342" s="23">
        <v>38</v>
      </c>
      <c r="BR342" s="24">
        <v>54</v>
      </c>
      <c r="BS342" s="23">
        <v>38</v>
      </c>
      <c r="BT342" s="26">
        <v>0</v>
      </c>
      <c r="BU342" s="23">
        <v>12</v>
      </c>
      <c r="BV342" s="24">
        <v>368</v>
      </c>
      <c r="BW342" s="23">
        <v>135</v>
      </c>
      <c r="BX342" s="24">
        <v>354</v>
      </c>
      <c r="BY342" s="23">
        <v>132</v>
      </c>
      <c r="BZ342" s="24">
        <v>14</v>
      </c>
      <c r="CA342" s="23">
        <v>18</v>
      </c>
      <c r="CB342" s="24">
        <v>67</v>
      </c>
      <c r="CC342" s="23">
        <v>48</v>
      </c>
      <c r="CD342" s="24">
        <v>67</v>
      </c>
      <c r="CE342" s="23">
        <v>48</v>
      </c>
      <c r="CF342" s="24">
        <v>0</v>
      </c>
      <c r="CG342" s="20">
        <v>12</v>
      </c>
    </row>
    <row r="343" spans="1:85" x14ac:dyDescent="0.3">
      <c r="A343" t="s">
        <v>685</v>
      </c>
      <c r="B343">
        <v>21660</v>
      </c>
      <c r="C343" t="s">
        <v>686</v>
      </c>
      <c r="D343" s="19">
        <v>3835</v>
      </c>
      <c r="E343" s="20">
        <v>309</v>
      </c>
      <c r="F343" s="19">
        <v>1085</v>
      </c>
      <c r="G343" s="23">
        <v>403</v>
      </c>
      <c r="H343" s="24">
        <v>344</v>
      </c>
      <c r="I343" s="23">
        <v>181</v>
      </c>
      <c r="J343" s="24">
        <v>339</v>
      </c>
      <c r="K343" s="23">
        <v>182</v>
      </c>
      <c r="L343" s="24">
        <v>5</v>
      </c>
      <c r="M343" s="23">
        <v>22</v>
      </c>
      <c r="N343" s="24">
        <v>600</v>
      </c>
      <c r="O343" s="23">
        <v>235</v>
      </c>
      <c r="P343" s="24">
        <v>513</v>
      </c>
      <c r="Q343" s="23">
        <v>206</v>
      </c>
      <c r="R343" s="24">
        <v>87</v>
      </c>
      <c r="S343" s="23">
        <v>80</v>
      </c>
      <c r="T343" s="24">
        <v>141</v>
      </c>
      <c r="U343" s="23">
        <v>109</v>
      </c>
      <c r="V343" s="24">
        <v>141</v>
      </c>
      <c r="W343" s="23">
        <v>109</v>
      </c>
      <c r="X343" s="24">
        <v>0</v>
      </c>
      <c r="Y343" s="20">
        <v>24</v>
      </c>
      <c r="Z343" s="19">
        <v>560</v>
      </c>
      <c r="AA343" s="23">
        <v>199</v>
      </c>
      <c r="AB343" s="24">
        <v>137</v>
      </c>
      <c r="AC343" s="23">
        <v>88</v>
      </c>
      <c r="AD343" s="24">
        <v>137</v>
      </c>
      <c r="AE343" s="23">
        <v>88</v>
      </c>
      <c r="AF343" s="24">
        <v>0</v>
      </c>
      <c r="AG343" s="23">
        <v>12</v>
      </c>
      <c r="AH343" s="24">
        <v>306</v>
      </c>
      <c r="AI343" s="23">
        <v>128</v>
      </c>
      <c r="AJ343" s="24">
        <v>271</v>
      </c>
      <c r="AK343" s="23">
        <v>120</v>
      </c>
      <c r="AL343" s="24">
        <v>35</v>
      </c>
      <c r="AM343" s="23">
        <v>28</v>
      </c>
      <c r="AN343" s="24">
        <v>117</v>
      </c>
      <c r="AO343" s="23">
        <v>74</v>
      </c>
      <c r="AP343" s="24">
        <v>117</v>
      </c>
      <c r="AQ343" s="23">
        <v>74</v>
      </c>
      <c r="AR343" s="24">
        <v>0</v>
      </c>
      <c r="AS343" s="20">
        <v>12</v>
      </c>
      <c r="AT343" s="19">
        <v>947</v>
      </c>
      <c r="AU343" s="23">
        <v>250</v>
      </c>
      <c r="AV343" s="24">
        <v>255</v>
      </c>
      <c r="AW343" s="23">
        <v>115</v>
      </c>
      <c r="AX343" s="24">
        <v>242</v>
      </c>
      <c r="AY343" s="23">
        <v>106</v>
      </c>
      <c r="AZ343" s="24">
        <v>13</v>
      </c>
      <c r="BA343" s="23">
        <v>18</v>
      </c>
      <c r="BB343" s="24">
        <v>570</v>
      </c>
      <c r="BC343" s="23">
        <v>150</v>
      </c>
      <c r="BD343" s="24">
        <v>476</v>
      </c>
      <c r="BE343" s="23">
        <v>138</v>
      </c>
      <c r="BF343" s="24">
        <v>94</v>
      </c>
      <c r="BG343" s="23">
        <v>66</v>
      </c>
      <c r="BH343" s="24">
        <v>122</v>
      </c>
      <c r="BI343" s="23">
        <v>50</v>
      </c>
      <c r="BJ343" s="24">
        <v>116</v>
      </c>
      <c r="BK343" s="23">
        <v>49</v>
      </c>
      <c r="BL343" s="24">
        <v>6</v>
      </c>
      <c r="BM343" s="20">
        <v>9</v>
      </c>
      <c r="BN343" s="19">
        <v>1243</v>
      </c>
      <c r="BO343" s="23">
        <v>238</v>
      </c>
      <c r="BP343" s="24">
        <v>226</v>
      </c>
      <c r="BQ343" s="23">
        <v>77</v>
      </c>
      <c r="BR343" s="24">
        <v>223</v>
      </c>
      <c r="BS343" s="23">
        <v>77</v>
      </c>
      <c r="BT343" s="26">
        <v>3</v>
      </c>
      <c r="BU343" s="23">
        <v>5</v>
      </c>
      <c r="BV343" s="24">
        <v>765</v>
      </c>
      <c r="BW343" s="23">
        <v>163</v>
      </c>
      <c r="BX343" s="24">
        <v>739</v>
      </c>
      <c r="BY343" s="23">
        <v>156</v>
      </c>
      <c r="BZ343" s="24">
        <v>26</v>
      </c>
      <c r="CA343" s="23">
        <v>30</v>
      </c>
      <c r="CB343" s="24">
        <v>252</v>
      </c>
      <c r="CC343" s="23">
        <v>82</v>
      </c>
      <c r="CD343" s="24">
        <v>239</v>
      </c>
      <c r="CE343" s="23">
        <v>77</v>
      </c>
      <c r="CF343" s="24">
        <v>13</v>
      </c>
      <c r="CG343" s="20">
        <v>18</v>
      </c>
    </row>
    <row r="344" spans="1:85" x14ac:dyDescent="0.3">
      <c r="A344" t="s">
        <v>687</v>
      </c>
      <c r="B344">
        <v>21661</v>
      </c>
      <c r="C344" t="s">
        <v>688</v>
      </c>
      <c r="D344" s="19">
        <v>2435</v>
      </c>
      <c r="E344" s="20">
        <v>227</v>
      </c>
      <c r="F344" s="19">
        <v>542</v>
      </c>
      <c r="G344" s="23">
        <v>189</v>
      </c>
      <c r="H344" s="24">
        <v>157</v>
      </c>
      <c r="I344" s="23">
        <v>97</v>
      </c>
      <c r="J344" s="24">
        <v>157</v>
      </c>
      <c r="K344" s="23">
        <v>97</v>
      </c>
      <c r="L344" s="24">
        <v>0</v>
      </c>
      <c r="M344" s="23">
        <v>24</v>
      </c>
      <c r="N344" s="24">
        <v>245</v>
      </c>
      <c r="O344" s="23">
        <v>114</v>
      </c>
      <c r="P344" s="24">
        <v>211</v>
      </c>
      <c r="Q344" s="23">
        <v>108</v>
      </c>
      <c r="R344" s="24">
        <v>34</v>
      </c>
      <c r="S344" s="23">
        <v>28</v>
      </c>
      <c r="T344" s="24">
        <v>140</v>
      </c>
      <c r="U344" s="23">
        <v>69</v>
      </c>
      <c r="V344" s="24">
        <v>140</v>
      </c>
      <c r="W344" s="23">
        <v>69</v>
      </c>
      <c r="X344" s="24">
        <v>0</v>
      </c>
      <c r="Y344" s="20">
        <v>24</v>
      </c>
      <c r="Z344" s="19">
        <v>311</v>
      </c>
      <c r="AA344" s="23">
        <v>114</v>
      </c>
      <c r="AB344" s="24">
        <v>43</v>
      </c>
      <c r="AC344" s="23">
        <v>36</v>
      </c>
      <c r="AD344" s="24">
        <v>43</v>
      </c>
      <c r="AE344" s="23">
        <v>36</v>
      </c>
      <c r="AF344" s="24">
        <v>0</v>
      </c>
      <c r="AG344" s="23">
        <v>12</v>
      </c>
      <c r="AH344" s="24">
        <v>187</v>
      </c>
      <c r="AI344" s="23">
        <v>83</v>
      </c>
      <c r="AJ344" s="24">
        <v>131</v>
      </c>
      <c r="AK344" s="23">
        <v>61</v>
      </c>
      <c r="AL344" s="24">
        <v>56</v>
      </c>
      <c r="AM344" s="23">
        <v>45</v>
      </c>
      <c r="AN344" s="24">
        <v>81</v>
      </c>
      <c r="AO344" s="23">
        <v>39</v>
      </c>
      <c r="AP344" s="24">
        <v>81</v>
      </c>
      <c r="AQ344" s="23">
        <v>39</v>
      </c>
      <c r="AR344" s="24">
        <v>0</v>
      </c>
      <c r="AS344" s="20">
        <v>12</v>
      </c>
      <c r="AT344" s="19">
        <v>776</v>
      </c>
      <c r="AU344" s="23">
        <v>227</v>
      </c>
      <c r="AV344" s="24">
        <v>169</v>
      </c>
      <c r="AW344" s="23">
        <v>96</v>
      </c>
      <c r="AX344" s="24">
        <v>168</v>
      </c>
      <c r="AY344" s="23">
        <v>97</v>
      </c>
      <c r="AZ344" s="24">
        <v>1</v>
      </c>
      <c r="BA344" s="23">
        <v>3</v>
      </c>
      <c r="BB344" s="24">
        <v>425</v>
      </c>
      <c r="BC344" s="23">
        <v>139</v>
      </c>
      <c r="BD344" s="24">
        <v>330</v>
      </c>
      <c r="BE344" s="23">
        <v>125</v>
      </c>
      <c r="BF344" s="24">
        <v>95</v>
      </c>
      <c r="BG344" s="23">
        <v>60</v>
      </c>
      <c r="BH344" s="24">
        <v>182</v>
      </c>
      <c r="BI344" s="23">
        <v>55</v>
      </c>
      <c r="BJ344" s="24">
        <v>182</v>
      </c>
      <c r="BK344" s="23">
        <v>55</v>
      </c>
      <c r="BL344" s="24">
        <v>0</v>
      </c>
      <c r="BM344" s="20">
        <v>12</v>
      </c>
      <c r="BN344" s="19">
        <v>806</v>
      </c>
      <c r="BO344" s="23">
        <v>166</v>
      </c>
      <c r="BP344" s="24">
        <v>69</v>
      </c>
      <c r="BQ344" s="23">
        <v>39</v>
      </c>
      <c r="BR344" s="24">
        <v>69</v>
      </c>
      <c r="BS344" s="23">
        <v>39</v>
      </c>
      <c r="BT344" s="26">
        <v>0</v>
      </c>
      <c r="BU344" s="23">
        <v>12</v>
      </c>
      <c r="BV344" s="24">
        <v>500</v>
      </c>
      <c r="BW344" s="23">
        <v>116</v>
      </c>
      <c r="BX344" s="24">
        <v>500</v>
      </c>
      <c r="BY344" s="23">
        <v>116</v>
      </c>
      <c r="BZ344" s="24">
        <v>0</v>
      </c>
      <c r="CA344" s="23">
        <v>12</v>
      </c>
      <c r="CB344" s="24">
        <v>237</v>
      </c>
      <c r="CC344" s="23">
        <v>66</v>
      </c>
      <c r="CD344" s="24">
        <v>237</v>
      </c>
      <c r="CE344" s="23">
        <v>66</v>
      </c>
      <c r="CF344" s="24">
        <v>0</v>
      </c>
      <c r="CG344" s="20">
        <v>12</v>
      </c>
    </row>
    <row r="345" spans="1:85" x14ac:dyDescent="0.3">
      <c r="A345" t="s">
        <v>689</v>
      </c>
      <c r="B345">
        <v>21662</v>
      </c>
      <c r="C345" t="s">
        <v>690</v>
      </c>
      <c r="D345" s="19">
        <v>466</v>
      </c>
      <c r="E345" s="20">
        <v>116</v>
      </c>
      <c r="F345" s="19">
        <v>25</v>
      </c>
      <c r="G345" s="23">
        <v>28</v>
      </c>
      <c r="H345" s="24">
        <v>0</v>
      </c>
      <c r="I345" s="23">
        <v>24</v>
      </c>
      <c r="J345" s="24">
        <v>0</v>
      </c>
      <c r="K345" s="23">
        <v>24</v>
      </c>
      <c r="L345" s="24">
        <v>0</v>
      </c>
      <c r="M345" s="23">
        <v>24</v>
      </c>
      <c r="N345" s="24">
        <v>9</v>
      </c>
      <c r="O345" s="23">
        <v>16</v>
      </c>
      <c r="P345" s="24">
        <v>3</v>
      </c>
      <c r="Q345" s="23">
        <v>19</v>
      </c>
      <c r="R345" s="24">
        <v>6</v>
      </c>
      <c r="S345" s="23">
        <v>21</v>
      </c>
      <c r="T345" s="24">
        <v>16</v>
      </c>
      <c r="U345" s="23">
        <v>23</v>
      </c>
      <c r="V345" s="24">
        <v>16</v>
      </c>
      <c r="W345" s="23">
        <v>23</v>
      </c>
      <c r="X345" s="24">
        <v>0</v>
      </c>
      <c r="Y345" s="20">
        <v>24</v>
      </c>
      <c r="Z345" s="19">
        <v>39</v>
      </c>
      <c r="AA345" s="23">
        <v>37</v>
      </c>
      <c r="AB345" s="24">
        <v>10</v>
      </c>
      <c r="AC345" s="23">
        <v>16</v>
      </c>
      <c r="AD345" s="24">
        <v>10</v>
      </c>
      <c r="AE345" s="23">
        <v>16</v>
      </c>
      <c r="AF345" s="24">
        <v>0</v>
      </c>
      <c r="AG345" s="23">
        <v>12</v>
      </c>
      <c r="AH345" s="24">
        <v>13</v>
      </c>
      <c r="AI345" s="23">
        <v>19</v>
      </c>
      <c r="AJ345" s="24">
        <v>13</v>
      </c>
      <c r="AK345" s="23">
        <v>19</v>
      </c>
      <c r="AL345" s="24">
        <v>0</v>
      </c>
      <c r="AM345" s="23">
        <v>12</v>
      </c>
      <c r="AN345" s="24">
        <v>16</v>
      </c>
      <c r="AO345" s="23">
        <v>17</v>
      </c>
      <c r="AP345" s="24">
        <v>16</v>
      </c>
      <c r="AQ345" s="23">
        <v>17</v>
      </c>
      <c r="AR345" s="24">
        <v>0</v>
      </c>
      <c r="AS345" s="20">
        <v>12</v>
      </c>
      <c r="AT345" s="19">
        <v>166</v>
      </c>
      <c r="AU345" s="23">
        <v>86</v>
      </c>
      <c r="AV345" s="24">
        <v>8</v>
      </c>
      <c r="AW345" s="23">
        <v>14</v>
      </c>
      <c r="AX345" s="24">
        <v>8</v>
      </c>
      <c r="AY345" s="23">
        <v>14</v>
      </c>
      <c r="AZ345" s="24">
        <v>0</v>
      </c>
      <c r="BA345" s="23">
        <v>12</v>
      </c>
      <c r="BB345" s="24">
        <v>62</v>
      </c>
      <c r="BC345" s="23">
        <v>48</v>
      </c>
      <c r="BD345" s="24">
        <v>62</v>
      </c>
      <c r="BE345" s="23">
        <v>48</v>
      </c>
      <c r="BF345" s="24">
        <v>0</v>
      </c>
      <c r="BG345" s="23">
        <v>12</v>
      </c>
      <c r="BH345" s="24">
        <v>96</v>
      </c>
      <c r="BI345" s="23">
        <v>49</v>
      </c>
      <c r="BJ345" s="24">
        <v>96</v>
      </c>
      <c r="BK345" s="23">
        <v>49</v>
      </c>
      <c r="BL345" s="24">
        <v>0</v>
      </c>
      <c r="BM345" s="20">
        <v>12</v>
      </c>
      <c r="BN345" s="19">
        <v>236</v>
      </c>
      <c r="BO345" s="23">
        <v>78</v>
      </c>
      <c r="BP345" s="24">
        <v>14</v>
      </c>
      <c r="BQ345" s="23">
        <v>14</v>
      </c>
      <c r="BR345" s="24">
        <v>14</v>
      </c>
      <c r="BS345" s="23">
        <v>14</v>
      </c>
      <c r="BT345" s="26">
        <v>0</v>
      </c>
      <c r="BU345" s="23">
        <v>12</v>
      </c>
      <c r="BV345" s="24">
        <v>142</v>
      </c>
      <c r="BW345" s="23">
        <v>62</v>
      </c>
      <c r="BX345" s="24">
        <v>142</v>
      </c>
      <c r="BY345" s="23">
        <v>62</v>
      </c>
      <c r="BZ345" s="24">
        <v>0</v>
      </c>
      <c r="CA345" s="23">
        <v>12</v>
      </c>
      <c r="CB345" s="24">
        <v>80</v>
      </c>
      <c r="CC345" s="23">
        <v>43</v>
      </c>
      <c r="CD345" s="24">
        <v>80</v>
      </c>
      <c r="CE345" s="23">
        <v>43</v>
      </c>
      <c r="CF345" s="24">
        <v>0</v>
      </c>
      <c r="CG345" s="20">
        <v>12</v>
      </c>
    </row>
    <row r="346" spans="1:85" x14ac:dyDescent="0.3">
      <c r="A346" t="s">
        <v>691</v>
      </c>
      <c r="B346">
        <v>21663</v>
      </c>
      <c r="C346" t="s">
        <v>692</v>
      </c>
      <c r="D346" s="19">
        <v>3161</v>
      </c>
      <c r="E346" s="20">
        <v>290</v>
      </c>
      <c r="F346" s="19">
        <v>419</v>
      </c>
      <c r="G346" s="23">
        <v>211</v>
      </c>
      <c r="H346" s="24">
        <v>78</v>
      </c>
      <c r="I346" s="23">
        <v>104</v>
      </c>
      <c r="J346" s="24">
        <v>78</v>
      </c>
      <c r="K346" s="23">
        <v>104</v>
      </c>
      <c r="L346" s="24">
        <v>0</v>
      </c>
      <c r="M346" s="23">
        <v>24</v>
      </c>
      <c r="N346" s="24">
        <v>187</v>
      </c>
      <c r="O346" s="23">
        <v>111</v>
      </c>
      <c r="P346" s="24">
        <v>115</v>
      </c>
      <c r="Q346" s="23">
        <v>91</v>
      </c>
      <c r="R346" s="24">
        <v>72</v>
      </c>
      <c r="S346" s="23">
        <v>67</v>
      </c>
      <c r="T346" s="24">
        <v>154</v>
      </c>
      <c r="U346" s="23">
        <v>96</v>
      </c>
      <c r="V346" s="24">
        <v>154</v>
      </c>
      <c r="W346" s="23">
        <v>96</v>
      </c>
      <c r="X346" s="24">
        <v>0</v>
      </c>
      <c r="Y346" s="20">
        <v>24</v>
      </c>
      <c r="Z346" s="19">
        <v>189</v>
      </c>
      <c r="AA346" s="23">
        <v>79</v>
      </c>
      <c r="AB346" s="24">
        <v>27</v>
      </c>
      <c r="AC346" s="23">
        <v>27</v>
      </c>
      <c r="AD346" s="24">
        <v>27</v>
      </c>
      <c r="AE346" s="23">
        <v>27</v>
      </c>
      <c r="AF346" s="24">
        <v>0</v>
      </c>
      <c r="AG346" s="23">
        <v>12</v>
      </c>
      <c r="AH346" s="24">
        <v>99</v>
      </c>
      <c r="AI346" s="23">
        <v>49</v>
      </c>
      <c r="AJ346" s="24">
        <v>84</v>
      </c>
      <c r="AK346" s="23">
        <v>43</v>
      </c>
      <c r="AL346" s="24">
        <v>15</v>
      </c>
      <c r="AM346" s="23">
        <v>17</v>
      </c>
      <c r="AN346" s="24">
        <v>63</v>
      </c>
      <c r="AO346" s="23">
        <v>43</v>
      </c>
      <c r="AP346" s="24">
        <v>63</v>
      </c>
      <c r="AQ346" s="23">
        <v>43</v>
      </c>
      <c r="AR346" s="24">
        <v>0</v>
      </c>
      <c r="AS346" s="20">
        <v>12</v>
      </c>
      <c r="AT346" s="19">
        <v>849</v>
      </c>
      <c r="AU346" s="23">
        <v>191</v>
      </c>
      <c r="AV346" s="24">
        <v>212</v>
      </c>
      <c r="AW346" s="23">
        <v>119</v>
      </c>
      <c r="AX346" s="24">
        <v>206</v>
      </c>
      <c r="AY346" s="23">
        <v>125</v>
      </c>
      <c r="AZ346" s="24">
        <v>6</v>
      </c>
      <c r="BA346" s="23">
        <v>16</v>
      </c>
      <c r="BB346" s="24">
        <v>356</v>
      </c>
      <c r="BC346" s="23">
        <v>112</v>
      </c>
      <c r="BD346" s="24">
        <v>314</v>
      </c>
      <c r="BE346" s="23">
        <v>110</v>
      </c>
      <c r="BF346" s="24">
        <v>42</v>
      </c>
      <c r="BG346" s="23">
        <v>39</v>
      </c>
      <c r="BH346" s="24">
        <v>281</v>
      </c>
      <c r="BI346" s="23">
        <v>110</v>
      </c>
      <c r="BJ346" s="24">
        <v>281</v>
      </c>
      <c r="BK346" s="23">
        <v>110</v>
      </c>
      <c r="BL346" s="24">
        <v>0</v>
      </c>
      <c r="BM346" s="20">
        <v>12</v>
      </c>
      <c r="BN346" s="19">
        <v>1704</v>
      </c>
      <c r="BO346" s="23">
        <v>260</v>
      </c>
      <c r="BP346" s="24">
        <v>122</v>
      </c>
      <c r="BQ346" s="23">
        <v>67</v>
      </c>
      <c r="BR346" s="24">
        <v>122</v>
      </c>
      <c r="BS346" s="23">
        <v>67</v>
      </c>
      <c r="BT346" s="26">
        <v>0</v>
      </c>
      <c r="BU346" s="23">
        <v>12</v>
      </c>
      <c r="BV346" s="24">
        <v>735</v>
      </c>
      <c r="BW346" s="23">
        <v>177</v>
      </c>
      <c r="BX346" s="24">
        <v>693</v>
      </c>
      <c r="BY346" s="23">
        <v>158</v>
      </c>
      <c r="BZ346" s="24">
        <v>42</v>
      </c>
      <c r="CA346" s="23">
        <v>41</v>
      </c>
      <c r="CB346" s="24">
        <v>847</v>
      </c>
      <c r="CC346" s="23">
        <v>170</v>
      </c>
      <c r="CD346" s="24">
        <v>838</v>
      </c>
      <c r="CE346" s="23">
        <v>171</v>
      </c>
      <c r="CF346" s="24">
        <v>9</v>
      </c>
      <c r="CG346" s="20">
        <v>14</v>
      </c>
    </row>
    <row r="347" spans="1:85" x14ac:dyDescent="0.3">
      <c r="A347" t="s">
        <v>693</v>
      </c>
      <c r="B347">
        <v>21664</v>
      </c>
      <c r="C347" t="s">
        <v>694</v>
      </c>
      <c r="D347" s="19">
        <v>620</v>
      </c>
      <c r="E347" s="20">
        <v>178</v>
      </c>
      <c r="F347" s="19">
        <v>208</v>
      </c>
      <c r="G347" s="23">
        <v>161</v>
      </c>
      <c r="H347" s="24">
        <v>85</v>
      </c>
      <c r="I347" s="23">
        <v>100</v>
      </c>
      <c r="J347" s="24">
        <v>23</v>
      </c>
      <c r="K347" s="23">
        <v>29</v>
      </c>
      <c r="L347" s="24">
        <v>62</v>
      </c>
      <c r="M347" s="23">
        <v>104</v>
      </c>
      <c r="N347" s="24">
        <v>95</v>
      </c>
      <c r="O347" s="23">
        <v>70</v>
      </c>
      <c r="P347" s="24">
        <v>53</v>
      </c>
      <c r="Q347" s="23">
        <v>50</v>
      </c>
      <c r="R347" s="24">
        <v>42</v>
      </c>
      <c r="S347" s="23">
        <v>51</v>
      </c>
      <c r="T347" s="24">
        <v>28</v>
      </c>
      <c r="U347" s="23">
        <v>24</v>
      </c>
      <c r="V347" s="24">
        <v>28</v>
      </c>
      <c r="W347" s="23">
        <v>24</v>
      </c>
      <c r="X347" s="24">
        <v>0</v>
      </c>
      <c r="Y347" s="20">
        <v>24</v>
      </c>
      <c r="Z347" s="19">
        <v>52</v>
      </c>
      <c r="AA347" s="23">
        <v>33</v>
      </c>
      <c r="AB347" s="24">
        <v>11</v>
      </c>
      <c r="AC347" s="23">
        <v>14</v>
      </c>
      <c r="AD347" s="24">
        <v>11</v>
      </c>
      <c r="AE347" s="23">
        <v>14</v>
      </c>
      <c r="AF347" s="24">
        <v>0</v>
      </c>
      <c r="AG347" s="23">
        <v>12</v>
      </c>
      <c r="AH347" s="24">
        <v>19</v>
      </c>
      <c r="AI347" s="23">
        <v>19</v>
      </c>
      <c r="AJ347" s="24">
        <v>12</v>
      </c>
      <c r="AK347" s="23">
        <v>15</v>
      </c>
      <c r="AL347" s="24">
        <v>7</v>
      </c>
      <c r="AM347" s="23">
        <v>11</v>
      </c>
      <c r="AN347" s="24">
        <v>22</v>
      </c>
      <c r="AO347" s="23">
        <v>16</v>
      </c>
      <c r="AP347" s="24">
        <v>22</v>
      </c>
      <c r="AQ347" s="23">
        <v>16</v>
      </c>
      <c r="AR347" s="24">
        <v>0</v>
      </c>
      <c r="AS347" s="20">
        <v>12</v>
      </c>
      <c r="AT347" s="19">
        <v>188</v>
      </c>
      <c r="AU347" s="23">
        <v>93</v>
      </c>
      <c r="AV347" s="24">
        <v>40</v>
      </c>
      <c r="AW347" s="23">
        <v>33</v>
      </c>
      <c r="AX347" s="24">
        <v>40</v>
      </c>
      <c r="AY347" s="23">
        <v>33</v>
      </c>
      <c r="AZ347" s="24">
        <v>0</v>
      </c>
      <c r="BA347" s="23">
        <v>12</v>
      </c>
      <c r="BB347" s="24">
        <v>105</v>
      </c>
      <c r="BC347" s="23">
        <v>51</v>
      </c>
      <c r="BD347" s="24">
        <v>65</v>
      </c>
      <c r="BE347" s="23">
        <v>31</v>
      </c>
      <c r="BF347" s="24">
        <v>40</v>
      </c>
      <c r="BG347" s="23">
        <v>31</v>
      </c>
      <c r="BH347" s="24">
        <v>43</v>
      </c>
      <c r="BI347" s="23">
        <v>31</v>
      </c>
      <c r="BJ347" s="24">
        <v>43</v>
      </c>
      <c r="BK347" s="23">
        <v>31</v>
      </c>
      <c r="BL347" s="24">
        <v>0</v>
      </c>
      <c r="BM347" s="20">
        <v>12</v>
      </c>
      <c r="BN347" s="19">
        <v>172</v>
      </c>
      <c r="BO347" s="23">
        <v>78</v>
      </c>
      <c r="BP347" s="24">
        <v>42</v>
      </c>
      <c r="BQ347" s="23">
        <v>35</v>
      </c>
      <c r="BR347" s="24">
        <v>42</v>
      </c>
      <c r="BS347" s="23">
        <v>35</v>
      </c>
      <c r="BT347" s="26">
        <v>0</v>
      </c>
      <c r="BU347" s="23">
        <v>12</v>
      </c>
      <c r="BV347" s="24">
        <v>97</v>
      </c>
      <c r="BW347" s="23">
        <v>44</v>
      </c>
      <c r="BX347" s="24">
        <v>91</v>
      </c>
      <c r="BY347" s="23">
        <v>42</v>
      </c>
      <c r="BZ347" s="24">
        <v>6</v>
      </c>
      <c r="CA347" s="23">
        <v>9</v>
      </c>
      <c r="CB347" s="24">
        <v>33</v>
      </c>
      <c r="CC347" s="23">
        <v>24</v>
      </c>
      <c r="CD347" s="24">
        <v>33</v>
      </c>
      <c r="CE347" s="23">
        <v>24</v>
      </c>
      <c r="CF347" s="24">
        <v>0</v>
      </c>
      <c r="CG347" s="20">
        <v>12</v>
      </c>
    </row>
    <row r="348" spans="1:85" x14ac:dyDescent="0.3">
      <c r="A348" t="s">
        <v>695</v>
      </c>
      <c r="B348">
        <v>21665</v>
      </c>
      <c r="C348" t="s">
        <v>696</v>
      </c>
      <c r="D348" s="19">
        <v>303</v>
      </c>
      <c r="E348" s="20">
        <v>131</v>
      </c>
      <c r="F348" s="19">
        <v>52</v>
      </c>
      <c r="G348" s="23">
        <v>77</v>
      </c>
      <c r="H348" s="24">
        <v>25</v>
      </c>
      <c r="I348" s="23">
        <v>50</v>
      </c>
      <c r="J348" s="24">
        <v>25</v>
      </c>
      <c r="K348" s="23">
        <v>50</v>
      </c>
      <c r="L348" s="24">
        <v>0</v>
      </c>
      <c r="M348" s="23">
        <v>24</v>
      </c>
      <c r="N348" s="24">
        <v>27</v>
      </c>
      <c r="O348" s="23">
        <v>41</v>
      </c>
      <c r="P348" s="24">
        <v>17</v>
      </c>
      <c r="Q348" s="23">
        <v>39</v>
      </c>
      <c r="R348" s="24">
        <v>10</v>
      </c>
      <c r="S348" s="23">
        <v>26</v>
      </c>
      <c r="T348" s="24">
        <v>0</v>
      </c>
      <c r="U348" s="23">
        <v>24</v>
      </c>
      <c r="V348" s="24">
        <v>0</v>
      </c>
      <c r="W348" s="23">
        <v>24</v>
      </c>
      <c r="X348" s="24">
        <v>0</v>
      </c>
      <c r="Y348" s="20">
        <v>24</v>
      </c>
      <c r="Z348" s="19">
        <v>24</v>
      </c>
      <c r="AA348" s="23">
        <v>27</v>
      </c>
      <c r="AB348" s="24">
        <v>0</v>
      </c>
      <c r="AC348" s="23">
        <v>12</v>
      </c>
      <c r="AD348" s="24">
        <v>0</v>
      </c>
      <c r="AE348" s="23">
        <v>12</v>
      </c>
      <c r="AF348" s="24">
        <v>0</v>
      </c>
      <c r="AG348" s="23">
        <v>12</v>
      </c>
      <c r="AH348" s="24">
        <v>13</v>
      </c>
      <c r="AI348" s="23">
        <v>21</v>
      </c>
      <c r="AJ348" s="24">
        <v>13</v>
      </c>
      <c r="AK348" s="23">
        <v>21</v>
      </c>
      <c r="AL348" s="24">
        <v>0</v>
      </c>
      <c r="AM348" s="23">
        <v>12</v>
      </c>
      <c r="AN348" s="24">
        <v>11</v>
      </c>
      <c r="AO348" s="23">
        <v>16</v>
      </c>
      <c r="AP348" s="24">
        <v>11</v>
      </c>
      <c r="AQ348" s="23">
        <v>16</v>
      </c>
      <c r="AR348" s="24">
        <v>0</v>
      </c>
      <c r="AS348" s="20">
        <v>12</v>
      </c>
      <c r="AT348" s="19">
        <v>54</v>
      </c>
      <c r="AU348" s="23">
        <v>61</v>
      </c>
      <c r="AV348" s="24">
        <v>12</v>
      </c>
      <c r="AW348" s="23">
        <v>28</v>
      </c>
      <c r="AX348" s="24">
        <v>12</v>
      </c>
      <c r="AY348" s="23">
        <v>28</v>
      </c>
      <c r="AZ348" s="24">
        <v>0</v>
      </c>
      <c r="BA348" s="23">
        <v>12</v>
      </c>
      <c r="BB348" s="24">
        <v>35</v>
      </c>
      <c r="BC348" s="23">
        <v>34</v>
      </c>
      <c r="BD348" s="24">
        <v>29</v>
      </c>
      <c r="BE348" s="23">
        <v>31</v>
      </c>
      <c r="BF348" s="24">
        <v>6</v>
      </c>
      <c r="BG348" s="23">
        <v>11</v>
      </c>
      <c r="BH348" s="24">
        <v>7</v>
      </c>
      <c r="BI348" s="23">
        <v>9</v>
      </c>
      <c r="BJ348" s="24">
        <v>7</v>
      </c>
      <c r="BK348" s="23">
        <v>9</v>
      </c>
      <c r="BL348" s="24">
        <v>0</v>
      </c>
      <c r="BM348" s="20">
        <v>12</v>
      </c>
      <c r="BN348" s="19">
        <v>173</v>
      </c>
      <c r="BO348" s="23">
        <v>94</v>
      </c>
      <c r="BP348" s="24">
        <v>19</v>
      </c>
      <c r="BQ348" s="23">
        <v>29</v>
      </c>
      <c r="BR348" s="24">
        <v>19</v>
      </c>
      <c r="BS348" s="23">
        <v>29</v>
      </c>
      <c r="BT348" s="26">
        <v>0</v>
      </c>
      <c r="BU348" s="23">
        <v>12</v>
      </c>
      <c r="BV348" s="24">
        <v>91</v>
      </c>
      <c r="BW348" s="23">
        <v>72</v>
      </c>
      <c r="BX348" s="24">
        <v>91</v>
      </c>
      <c r="BY348" s="23">
        <v>72</v>
      </c>
      <c r="BZ348" s="24">
        <v>0</v>
      </c>
      <c r="CA348" s="23">
        <v>12</v>
      </c>
      <c r="CB348" s="24">
        <v>63</v>
      </c>
      <c r="CC348" s="23">
        <v>33</v>
      </c>
      <c r="CD348" s="24">
        <v>63</v>
      </c>
      <c r="CE348" s="23">
        <v>33</v>
      </c>
      <c r="CF348" s="24">
        <v>0</v>
      </c>
      <c r="CG348" s="20">
        <v>12</v>
      </c>
    </row>
    <row r="349" spans="1:85" x14ac:dyDescent="0.3">
      <c r="A349" t="s">
        <v>697</v>
      </c>
      <c r="B349">
        <v>21666</v>
      </c>
      <c r="C349" t="s">
        <v>698</v>
      </c>
      <c r="D349" s="19">
        <v>11874</v>
      </c>
      <c r="E349" s="20">
        <v>620</v>
      </c>
      <c r="F349" s="19">
        <v>620</v>
      </c>
      <c r="G349" s="23">
        <v>307</v>
      </c>
      <c r="H349" s="24">
        <v>62</v>
      </c>
      <c r="I349" s="23">
        <v>76</v>
      </c>
      <c r="J349" s="24">
        <v>62</v>
      </c>
      <c r="K349" s="23">
        <v>76</v>
      </c>
      <c r="L349" s="24">
        <v>0</v>
      </c>
      <c r="M349" s="23">
        <v>38</v>
      </c>
      <c r="N349" s="24">
        <v>388</v>
      </c>
      <c r="O349" s="23">
        <v>218</v>
      </c>
      <c r="P349" s="24">
        <v>352</v>
      </c>
      <c r="Q349" s="23">
        <v>197</v>
      </c>
      <c r="R349" s="24">
        <v>36</v>
      </c>
      <c r="S349" s="23">
        <v>50</v>
      </c>
      <c r="T349" s="24">
        <v>170</v>
      </c>
      <c r="U349" s="23">
        <v>137</v>
      </c>
      <c r="V349" s="24">
        <v>137</v>
      </c>
      <c r="W349" s="23">
        <v>101</v>
      </c>
      <c r="X349" s="24">
        <v>33</v>
      </c>
      <c r="Y349" s="20">
        <v>67</v>
      </c>
      <c r="Z349" s="19">
        <v>442</v>
      </c>
      <c r="AA349" s="23">
        <v>208</v>
      </c>
      <c r="AB349" s="24">
        <v>68</v>
      </c>
      <c r="AC349" s="23">
        <v>78</v>
      </c>
      <c r="AD349" s="24">
        <v>68</v>
      </c>
      <c r="AE349" s="23">
        <v>78</v>
      </c>
      <c r="AF349" s="24">
        <v>0</v>
      </c>
      <c r="AG349" s="23">
        <v>19</v>
      </c>
      <c r="AH349" s="24">
        <v>240</v>
      </c>
      <c r="AI349" s="23">
        <v>133</v>
      </c>
      <c r="AJ349" s="24">
        <v>214</v>
      </c>
      <c r="AK349" s="23">
        <v>128</v>
      </c>
      <c r="AL349" s="24">
        <v>26</v>
      </c>
      <c r="AM349" s="23">
        <v>45</v>
      </c>
      <c r="AN349" s="24">
        <v>134</v>
      </c>
      <c r="AO349" s="23">
        <v>90</v>
      </c>
      <c r="AP349" s="24">
        <v>134</v>
      </c>
      <c r="AQ349" s="23">
        <v>90</v>
      </c>
      <c r="AR349" s="24">
        <v>0</v>
      </c>
      <c r="AS349" s="20">
        <v>19</v>
      </c>
      <c r="AT349" s="19">
        <v>3085</v>
      </c>
      <c r="AU349" s="23">
        <v>519</v>
      </c>
      <c r="AV349" s="24">
        <v>890</v>
      </c>
      <c r="AW349" s="23">
        <v>222</v>
      </c>
      <c r="AX349" s="24">
        <v>890</v>
      </c>
      <c r="AY349" s="23">
        <v>222</v>
      </c>
      <c r="AZ349" s="24">
        <v>0</v>
      </c>
      <c r="BA349" s="23">
        <v>19</v>
      </c>
      <c r="BB349" s="24">
        <v>1666</v>
      </c>
      <c r="BC349" s="23">
        <v>327</v>
      </c>
      <c r="BD349" s="24">
        <v>1464</v>
      </c>
      <c r="BE349" s="23">
        <v>291</v>
      </c>
      <c r="BF349" s="24">
        <v>202</v>
      </c>
      <c r="BG349" s="23">
        <v>104</v>
      </c>
      <c r="BH349" s="24">
        <v>529</v>
      </c>
      <c r="BI349" s="23">
        <v>134</v>
      </c>
      <c r="BJ349" s="24">
        <v>529</v>
      </c>
      <c r="BK349" s="23">
        <v>134</v>
      </c>
      <c r="BL349" s="24">
        <v>0</v>
      </c>
      <c r="BM349" s="20">
        <v>19</v>
      </c>
      <c r="BN349" s="19">
        <v>7727</v>
      </c>
      <c r="BO349" s="23">
        <v>646</v>
      </c>
      <c r="BP349" s="24">
        <v>1706</v>
      </c>
      <c r="BQ349" s="23">
        <v>263</v>
      </c>
      <c r="BR349" s="24">
        <v>1677</v>
      </c>
      <c r="BS349" s="23">
        <v>263</v>
      </c>
      <c r="BT349" s="26">
        <v>29</v>
      </c>
      <c r="BU349" s="23">
        <v>43</v>
      </c>
      <c r="BV349" s="24">
        <v>5014</v>
      </c>
      <c r="BW349" s="23">
        <v>468</v>
      </c>
      <c r="BX349" s="24">
        <v>4986</v>
      </c>
      <c r="BY349" s="23">
        <v>463</v>
      </c>
      <c r="BZ349" s="24">
        <v>28</v>
      </c>
      <c r="CA349" s="23">
        <v>25</v>
      </c>
      <c r="CB349" s="24">
        <v>1007</v>
      </c>
      <c r="CC349" s="23">
        <v>171</v>
      </c>
      <c r="CD349" s="24">
        <v>1007</v>
      </c>
      <c r="CE349" s="23">
        <v>171</v>
      </c>
      <c r="CF349" s="24">
        <v>0</v>
      </c>
      <c r="CG349" s="20">
        <v>19</v>
      </c>
    </row>
    <row r="350" spans="1:85" x14ac:dyDescent="0.3">
      <c r="A350" t="s">
        <v>699</v>
      </c>
      <c r="B350">
        <v>21667</v>
      </c>
      <c r="C350" t="s">
        <v>700</v>
      </c>
      <c r="D350" s="19">
        <v>266</v>
      </c>
      <c r="E350" s="20">
        <v>129</v>
      </c>
      <c r="F350" s="19">
        <v>0</v>
      </c>
      <c r="G350" s="23">
        <v>24</v>
      </c>
      <c r="H350" s="24">
        <v>0</v>
      </c>
      <c r="I350" s="23">
        <v>24</v>
      </c>
      <c r="J350" s="24">
        <v>0</v>
      </c>
      <c r="K350" s="23">
        <v>24</v>
      </c>
      <c r="L350" s="24">
        <v>0</v>
      </c>
      <c r="M350" s="23">
        <v>24</v>
      </c>
      <c r="N350" s="24">
        <v>0</v>
      </c>
      <c r="O350" s="23">
        <v>24</v>
      </c>
      <c r="P350" s="24">
        <v>0</v>
      </c>
      <c r="Q350" s="23">
        <v>24</v>
      </c>
      <c r="R350" s="24">
        <v>0</v>
      </c>
      <c r="S350" s="23">
        <v>24</v>
      </c>
      <c r="T350" s="24">
        <v>0</v>
      </c>
      <c r="U350" s="23">
        <v>24</v>
      </c>
      <c r="V350" s="24">
        <v>0</v>
      </c>
      <c r="W350" s="23">
        <v>24</v>
      </c>
      <c r="X350" s="24">
        <v>0</v>
      </c>
      <c r="Y350" s="20">
        <v>24</v>
      </c>
      <c r="Z350" s="19">
        <v>85</v>
      </c>
      <c r="AA350" s="23">
        <v>67</v>
      </c>
      <c r="AB350" s="24">
        <v>0</v>
      </c>
      <c r="AC350" s="23">
        <v>12</v>
      </c>
      <c r="AD350" s="24">
        <v>0</v>
      </c>
      <c r="AE350" s="23">
        <v>12</v>
      </c>
      <c r="AF350" s="24">
        <v>0</v>
      </c>
      <c r="AG350" s="23">
        <v>12</v>
      </c>
      <c r="AH350" s="24">
        <v>13</v>
      </c>
      <c r="AI350" s="23">
        <v>21</v>
      </c>
      <c r="AJ350" s="24">
        <v>13</v>
      </c>
      <c r="AK350" s="23">
        <v>21</v>
      </c>
      <c r="AL350" s="24">
        <v>0</v>
      </c>
      <c r="AM350" s="23">
        <v>12</v>
      </c>
      <c r="AN350" s="24">
        <v>72</v>
      </c>
      <c r="AO350" s="23">
        <v>68</v>
      </c>
      <c r="AP350" s="24">
        <v>72</v>
      </c>
      <c r="AQ350" s="23">
        <v>68</v>
      </c>
      <c r="AR350" s="24">
        <v>0</v>
      </c>
      <c r="AS350" s="20">
        <v>12</v>
      </c>
      <c r="AT350" s="19">
        <v>40</v>
      </c>
      <c r="AU350" s="23">
        <v>64</v>
      </c>
      <c r="AV350" s="24">
        <v>20</v>
      </c>
      <c r="AW350" s="23">
        <v>32</v>
      </c>
      <c r="AX350" s="24">
        <v>20</v>
      </c>
      <c r="AY350" s="23">
        <v>32</v>
      </c>
      <c r="AZ350" s="24">
        <v>0</v>
      </c>
      <c r="BA350" s="23">
        <v>12</v>
      </c>
      <c r="BB350" s="24">
        <v>20</v>
      </c>
      <c r="BC350" s="23">
        <v>32</v>
      </c>
      <c r="BD350" s="24">
        <v>20</v>
      </c>
      <c r="BE350" s="23">
        <v>32</v>
      </c>
      <c r="BF350" s="24">
        <v>0</v>
      </c>
      <c r="BG350" s="23">
        <v>12</v>
      </c>
      <c r="BH350" s="24">
        <v>0</v>
      </c>
      <c r="BI350" s="23">
        <v>12</v>
      </c>
      <c r="BJ350" s="24">
        <v>0</v>
      </c>
      <c r="BK350" s="23">
        <v>12</v>
      </c>
      <c r="BL350" s="24">
        <v>0</v>
      </c>
      <c r="BM350" s="20">
        <v>12</v>
      </c>
      <c r="BN350" s="19">
        <v>141</v>
      </c>
      <c r="BO350" s="23">
        <v>83</v>
      </c>
      <c r="BP350" s="24">
        <v>0</v>
      </c>
      <c r="BQ350" s="23">
        <v>12</v>
      </c>
      <c r="BR350" s="24">
        <v>0</v>
      </c>
      <c r="BS350" s="23">
        <v>12</v>
      </c>
      <c r="BT350" s="26">
        <v>0</v>
      </c>
      <c r="BU350" s="23">
        <v>12</v>
      </c>
      <c r="BV350" s="24">
        <v>125</v>
      </c>
      <c r="BW350" s="23">
        <v>78</v>
      </c>
      <c r="BX350" s="24">
        <v>125</v>
      </c>
      <c r="BY350" s="23">
        <v>78</v>
      </c>
      <c r="BZ350" s="24">
        <v>0</v>
      </c>
      <c r="CA350" s="23">
        <v>12</v>
      </c>
      <c r="CB350" s="24">
        <v>16</v>
      </c>
      <c r="CC350" s="23">
        <v>25</v>
      </c>
      <c r="CD350" s="24">
        <v>16</v>
      </c>
      <c r="CE350" s="23">
        <v>25</v>
      </c>
      <c r="CF350" s="24">
        <v>0</v>
      </c>
      <c r="CG350" s="20">
        <v>12</v>
      </c>
    </row>
    <row r="351" spans="1:85" x14ac:dyDescent="0.3">
      <c r="A351" t="s">
        <v>701</v>
      </c>
      <c r="B351">
        <v>21668</v>
      </c>
      <c r="C351" t="s">
        <v>702</v>
      </c>
      <c r="D351" s="19">
        <v>1997</v>
      </c>
      <c r="E351" s="20">
        <v>331</v>
      </c>
      <c r="F351" s="19">
        <v>293</v>
      </c>
      <c r="G351" s="23">
        <v>179</v>
      </c>
      <c r="H351" s="24">
        <v>114</v>
      </c>
      <c r="I351" s="23">
        <v>108</v>
      </c>
      <c r="J351" s="24">
        <v>114</v>
      </c>
      <c r="K351" s="23">
        <v>108</v>
      </c>
      <c r="L351" s="24">
        <v>0</v>
      </c>
      <c r="M351" s="23">
        <v>24</v>
      </c>
      <c r="N351" s="24">
        <v>119</v>
      </c>
      <c r="O351" s="23">
        <v>73</v>
      </c>
      <c r="P351" s="24">
        <v>100</v>
      </c>
      <c r="Q351" s="23">
        <v>73</v>
      </c>
      <c r="R351" s="24">
        <v>19</v>
      </c>
      <c r="S351" s="23">
        <v>30</v>
      </c>
      <c r="T351" s="24">
        <v>60</v>
      </c>
      <c r="U351" s="23">
        <v>45</v>
      </c>
      <c r="V351" s="24">
        <v>60</v>
      </c>
      <c r="W351" s="23">
        <v>45</v>
      </c>
      <c r="X351" s="24">
        <v>0</v>
      </c>
      <c r="Y351" s="20">
        <v>24</v>
      </c>
      <c r="Z351" s="19">
        <v>222</v>
      </c>
      <c r="AA351" s="23">
        <v>122</v>
      </c>
      <c r="AB351" s="24">
        <v>42</v>
      </c>
      <c r="AC351" s="23">
        <v>37</v>
      </c>
      <c r="AD351" s="24">
        <v>20</v>
      </c>
      <c r="AE351" s="23">
        <v>19</v>
      </c>
      <c r="AF351" s="24">
        <v>22</v>
      </c>
      <c r="AG351" s="23">
        <v>30</v>
      </c>
      <c r="AH351" s="24">
        <v>47</v>
      </c>
      <c r="AI351" s="23">
        <v>38</v>
      </c>
      <c r="AJ351" s="24">
        <v>27</v>
      </c>
      <c r="AK351" s="23">
        <v>29</v>
      </c>
      <c r="AL351" s="24">
        <v>20</v>
      </c>
      <c r="AM351" s="23">
        <v>19</v>
      </c>
      <c r="AN351" s="24">
        <v>133</v>
      </c>
      <c r="AO351" s="23">
        <v>106</v>
      </c>
      <c r="AP351" s="24">
        <v>133</v>
      </c>
      <c r="AQ351" s="23">
        <v>106</v>
      </c>
      <c r="AR351" s="24">
        <v>0</v>
      </c>
      <c r="AS351" s="20">
        <v>12</v>
      </c>
      <c r="AT351" s="19">
        <v>718</v>
      </c>
      <c r="AU351" s="23">
        <v>251</v>
      </c>
      <c r="AV351" s="24">
        <v>189</v>
      </c>
      <c r="AW351" s="23">
        <v>105</v>
      </c>
      <c r="AX351" s="24">
        <v>177</v>
      </c>
      <c r="AY351" s="23">
        <v>103</v>
      </c>
      <c r="AZ351" s="24">
        <v>12</v>
      </c>
      <c r="BA351" s="23">
        <v>14</v>
      </c>
      <c r="BB351" s="24">
        <v>365</v>
      </c>
      <c r="BC351" s="23">
        <v>148</v>
      </c>
      <c r="BD351" s="24">
        <v>355</v>
      </c>
      <c r="BE351" s="23">
        <v>146</v>
      </c>
      <c r="BF351" s="24">
        <v>10</v>
      </c>
      <c r="BG351" s="23">
        <v>10</v>
      </c>
      <c r="BH351" s="24">
        <v>164</v>
      </c>
      <c r="BI351" s="23">
        <v>63</v>
      </c>
      <c r="BJ351" s="24">
        <v>164</v>
      </c>
      <c r="BK351" s="23">
        <v>63</v>
      </c>
      <c r="BL351" s="24">
        <v>0</v>
      </c>
      <c r="BM351" s="20">
        <v>12</v>
      </c>
      <c r="BN351" s="19">
        <v>764</v>
      </c>
      <c r="BO351" s="23">
        <v>212</v>
      </c>
      <c r="BP351" s="24">
        <v>78</v>
      </c>
      <c r="BQ351" s="23">
        <v>46</v>
      </c>
      <c r="BR351" s="24">
        <v>78</v>
      </c>
      <c r="BS351" s="23">
        <v>46</v>
      </c>
      <c r="BT351" s="26">
        <v>0</v>
      </c>
      <c r="BU351" s="23">
        <v>12</v>
      </c>
      <c r="BV351" s="24">
        <v>601</v>
      </c>
      <c r="BW351" s="23">
        <v>183</v>
      </c>
      <c r="BX351" s="24">
        <v>593</v>
      </c>
      <c r="BY351" s="23">
        <v>182</v>
      </c>
      <c r="BZ351" s="24">
        <v>8</v>
      </c>
      <c r="CA351" s="23">
        <v>12</v>
      </c>
      <c r="CB351" s="24">
        <v>85</v>
      </c>
      <c r="CC351" s="23">
        <v>51</v>
      </c>
      <c r="CD351" s="24">
        <v>85</v>
      </c>
      <c r="CE351" s="23">
        <v>51</v>
      </c>
      <c r="CF351" s="24">
        <v>0</v>
      </c>
      <c r="CG351" s="20">
        <v>12</v>
      </c>
    </row>
    <row r="352" spans="1:85" x14ac:dyDescent="0.3">
      <c r="A352" t="s">
        <v>703</v>
      </c>
      <c r="B352">
        <v>21669</v>
      </c>
      <c r="C352" t="s">
        <v>704</v>
      </c>
      <c r="D352" s="19">
        <v>201</v>
      </c>
      <c r="E352" s="20">
        <v>104</v>
      </c>
      <c r="F352" s="19">
        <v>0</v>
      </c>
      <c r="G352" s="23">
        <v>24</v>
      </c>
      <c r="H352" s="24">
        <v>0</v>
      </c>
      <c r="I352" s="23">
        <v>24</v>
      </c>
      <c r="J352" s="24">
        <v>0</v>
      </c>
      <c r="K352" s="23">
        <v>24</v>
      </c>
      <c r="L352" s="24">
        <v>0</v>
      </c>
      <c r="M352" s="23">
        <v>24</v>
      </c>
      <c r="N352" s="24">
        <v>0</v>
      </c>
      <c r="O352" s="23">
        <v>24</v>
      </c>
      <c r="P352" s="24">
        <v>0</v>
      </c>
      <c r="Q352" s="23">
        <v>24</v>
      </c>
      <c r="R352" s="24">
        <v>0</v>
      </c>
      <c r="S352" s="23">
        <v>24</v>
      </c>
      <c r="T352" s="24">
        <v>0</v>
      </c>
      <c r="U352" s="23">
        <v>24</v>
      </c>
      <c r="V352" s="24">
        <v>0</v>
      </c>
      <c r="W352" s="23">
        <v>24</v>
      </c>
      <c r="X352" s="24">
        <v>0</v>
      </c>
      <c r="Y352" s="20">
        <v>24</v>
      </c>
      <c r="Z352" s="19">
        <v>0</v>
      </c>
      <c r="AA352" s="23">
        <v>12</v>
      </c>
      <c r="AB352" s="24">
        <v>0</v>
      </c>
      <c r="AC352" s="23">
        <v>12</v>
      </c>
      <c r="AD352" s="24">
        <v>0</v>
      </c>
      <c r="AE352" s="23">
        <v>12</v>
      </c>
      <c r="AF352" s="24">
        <v>0</v>
      </c>
      <c r="AG352" s="23">
        <v>12</v>
      </c>
      <c r="AH352" s="24">
        <v>0</v>
      </c>
      <c r="AI352" s="23">
        <v>12</v>
      </c>
      <c r="AJ352" s="24">
        <v>0</v>
      </c>
      <c r="AK352" s="23">
        <v>12</v>
      </c>
      <c r="AL352" s="24">
        <v>0</v>
      </c>
      <c r="AM352" s="23">
        <v>12</v>
      </c>
      <c r="AN352" s="24">
        <v>0</v>
      </c>
      <c r="AO352" s="23">
        <v>12</v>
      </c>
      <c r="AP352" s="24">
        <v>0</v>
      </c>
      <c r="AQ352" s="23">
        <v>12</v>
      </c>
      <c r="AR352" s="24">
        <v>0</v>
      </c>
      <c r="AS352" s="20">
        <v>12</v>
      </c>
      <c r="AT352" s="19">
        <v>133</v>
      </c>
      <c r="AU352" s="23">
        <v>100</v>
      </c>
      <c r="AV352" s="24">
        <v>41</v>
      </c>
      <c r="AW352" s="23">
        <v>49</v>
      </c>
      <c r="AX352" s="24">
        <v>41</v>
      </c>
      <c r="AY352" s="23">
        <v>49</v>
      </c>
      <c r="AZ352" s="24">
        <v>0</v>
      </c>
      <c r="BA352" s="23">
        <v>12</v>
      </c>
      <c r="BB352" s="24">
        <v>77</v>
      </c>
      <c r="BC352" s="23">
        <v>58</v>
      </c>
      <c r="BD352" s="24">
        <v>77</v>
      </c>
      <c r="BE352" s="23">
        <v>58</v>
      </c>
      <c r="BF352" s="24">
        <v>0</v>
      </c>
      <c r="BG352" s="23">
        <v>12</v>
      </c>
      <c r="BH352" s="24">
        <v>15</v>
      </c>
      <c r="BI352" s="23">
        <v>24</v>
      </c>
      <c r="BJ352" s="24">
        <v>15</v>
      </c>
      <c r="BK352" s="23">
        <v>24</v>
      </c>
      <c r="BL352" s="24">
        <v>0</v>
      </c>
      <c r="BM352" s="20">
        <v>12</v>
      </c>
      <c r="BN352" s="19">
        <v>68</v>
      </c>
      <c r="BO352" s="23">
        <v>55</v>
      </c>
      <c r="BP352" s="24">
        <v>14</v>
      </c>
      <c r="BQ352" s="23">
        <v>19</v>
      </c>
      <c r="BR352" s="24">
        <v>14</v>
      </c>
      <c r="BS352" s="23">
        <v>19</v>
      </c>
      <c r="BT352" s="26">
        <v>0</v>
      </c>
      <c r="BU352" s="23">
        <v>12</v>
      </c>
      <c r="BV352" s="24">
        <v>25</v>
      </c>
      <c r="BW352" s="23">
        <v>39</v>
      </c>
      <c r="BX352" s="24">
        <v>25</v>
      </c>
      <c r="BY352" s="23">
        <v>39</v>
      </c>
      <c r="BZ352" s="24">
        <v>0</v>
      </c>
      <c r="CA352" s="23">
        <v>12</v>
      </c>
      <c r="CB352" s="24">
        <v>29</v>
      </c>
      <c r="CC352" s="23">
        <v>22</v>
      </c>
      <c r="CD352" s="24">
        <v>29</v>
      </c>
      <c r="CE352" s="23">
        <v>22</v>
      </c>
      <c r="CF352" s="24">
        <v>0</v>
      </c>
      <c r="CG352" s="20">
        <v>12</v>
      </c>
    </row>
    <row r="353" spans="1:85" x14ac:dyDescent="0.3">
      <c r="A353" t="s">
        <v>705</v>
      </c>
      <c r="B353">
        <v>21671</v>
      </c>
      <c r="C353" t="s">
        <v>706</v>
      </c>
      <c r="D353" s="19">
        <v>762</v>
      </c>
      <c r="E353" s="20">
        <v>145</v>
      </c>
      <c r="F353" s="19">
        <v>167</v>
      </c>
      <c r="G353" s="23">
        <v>124</v>
      </c>
      <c r="H353" s="24">
        <v>30</v>
      </c>
      <c r="I353" s="23">
        <v>51</v>
      </c>
      <c r="J353" s="24">
        <v>30</v>
      </c>
      <c r="K353" s="23">
        <v>51</v>
      </c>
      <c r="L353" s="24">
        <v>0</v>
      </c>
      <c r="M353" s="23">
        <v>24</v>
      </c>
      <c r="N353" s="24">
        <v>115</v>
      </c>
      <c r="O353" s="23">
        <v>75</v>
      </c>
      <c r="P353" s="24">
        <v>80</v>
      </c>
      <c r="Q353" s="23">
        <v>55</v>
      </c>
      <c r="R353" s="24">
        <v>35</v>
      </c>
      <c r="S353" s="23">
        <v>52</v>
      </c>
      <c r="T353" s="24">
        <v>22</v>
      </c>
      <c r="U353" s="23">
        <v>39</v>
      </c>
      <c r="V353" s="24">
        <v>22</v>
      </c>
      <c r="W353" s="23">
        <v>39</v>
      </c>
      <c r="X353" s="24">
        <v>0</v>
      </c>
      <c r="Y353" s="20">
        <v>24</v>
      </c>
      <c r="Z353" s="19">
        <v>18</v>
      </c>
      <c r="AA353" s="23">
        <v>17</v>
      </c>
      <c r="AB353" s="24">
        <v>0</v>
      </c>
      <c r="AC353" s="23">
        <v>12</v>
      </c>
      <c r="AD353" s="24">
        <v>0</v>
      </c>
      <c r="AE353" s="23">
        <v>12</v>
      </c>
      <c r="AF353" s="24">
        <v>0</v>
      </c>
      <c r="AG353" s="23">
        <v>12</v>
      </c>
      <c r="AH353" s="24">
        <v>12</v>
      </c>
      <c r="AI353" s="23">
        <v>16</v>
      </c>
      <c r="AJ353" s="24">
        <v>12</v>
      </c>
      <c r="AK353" s="23">
        <v>16</v>
      </c>
      <c r="AL353" s="24">
        <v>0</v>
      </c>
      <c r="AM353" s="23">
        <v>12</v>
      </c>
      <c r="AN353" s="24">
        <v>6</v>
      </c>
      <c r="AO353" s="23">
        <v>9</v>
      </c>
      <c r="AP353" s="24">
        <v>6</v>
      </c>
      <c r="AQ353" s="23">
        <v>9</v>
      </c>
      <c r="AR353" s="24">
        <v>0</v>
      </c>
      <c r="AS353" s="20">
        <v>12</v>
      </c>
      <c r="AT353" s="19">
        <v>261</v>
      </c>
      <c r="AU353" s="23">
        <v>133</v>
      </c>
      <c r="AV353" s="24">
        <v>36</v>
      </c>
      <c r="AW353" s="23">
        <v>27</v>
      </c>
      <c r="AX353" s="24">
        <v>36</v>
      </c>
      <c r="AY353" s="23">
        <v>27</v>
      </c>
      <c r="AZ353" s="24">
        <v>0</v>
      </c>
      <c r="BA353" s="23">
        <v>12</v>
      </c>
      <c r="BB353" s="24">
        <v>162</v>
      </c>
      <c r="BC353" s="23">
        <v>115</v>
      </c>
      <c r="BD353" s="24">
        <v>145</v>
      </c>
      <c r="BE353" s="23">
        <v>126</v>
      </c>
      <c r="BF353" s="24">
        <v>17</v>
      </c>
      <c r="BG353" s="23">
        <v>26</v>
      </c>
      <c r="BH353" s="24">
        <v>63</v>
      </c>
      <c r="BI353" s="23">
        <v>48</v>
      </c>
      <c r="BJ353" s="24">
        <v>63</v>
      </c>
      <c r="BK353" s="23">
        <v>48</v>
      </c>
      <c r="BL353" s="24">
        <v>0</v>
      </c>
      <c r="BM353" s="20">
        <v>12</v>
      </c>
      <c r="BN353" s="19">
        <v>316</v>
      </c>
      <c r="BO353" s="23">
        <v>102</v>
      </c>
      <c r="BP353" s="24">
        <v>25</v>
      </c>
      <c r="BQ353" s="23">
        <v>36</v>
      </c>
      <c r="BR353" s="24">
        <v>25</v>
      </c>
      <c r="BS353" s="23">
        <v>36</v>
      </c>
      <c r="BT353" s="26">
        <v>0</v>
      </c>
      <c r="BU353" s="23">
        <v>12</v>
      </c>
      <c r="BV353" s="24">
        <v>122</v>
      </c>
      <c r="BW353" s="23">
        <v>52</v>
      </c>
      <c r="BX353" s="24">
        <v>122</v>
      </c>
      <c r="BY353" s="23">
        <v>52</v>
      </c>
      <c r="BZ353" s="24">
        <v>0</v>
      </c>
      <c r="CA353" s="23">
        <v>12</v>
      </c>
      <c r="CB353" s="24">
        <v>169</v>
      </c>
      <c r="CC353" s="23">
        <v>56</v>
      </c>
      <c r="CD353" s="24">
        <v>169</v>
      </c>
      <c r="CE353" s="23">
        <v>56</v>
      </c>
      <c r="CF353" s="24">
        <v>0</v>
      </c>
      <c r="CG353" s="20">
        <v>12</v>
      </c>
    </row>
    <row r="354" spans="1:85" x14ac:dyDescent="0.3">
      <c r="A354" t="s">
        <v>707</v>
      </c>
      <c r="B354">
        <v>21672</v>
      </c>
      <c r="C354" t="s">
        <v>708</v>
      </c>
      <c r="D354" s="19">
        <v>178</v>
      </c>
      <c r="E354" s="20">
        <v>61</v>
      </c>
      <c r="F354" s="19">
        <v>27</v>
      </c>
      <c r="G354" s="23">
        <v>25</v>
      </c>
      <c r="H354" s="24">
        <v>0</v>
      </c>
      <c r="I354" s="23">
        <v>24</v>
      </c>
      <c r="J354" s="24">
        <v>0</v>
      </c>
      <c r="K354" s="23">
        <v>24</v>
      </c>
      <c r="L354" s="24">
        <v>0</v>
      </c>
      <c r="M354" s="23">
        <v>24</v>
      </c>
      <c r="N354" s="24">
        <v>15</v>
      </c>
      <c r="O354" s="23">
        <v>28</v>
      </c>
      <c r="P354" s="24">
        <v>0</v>
      </c>
      <c r="Q354" s="23">
        <v>24</v>
      </c>
      <c r="R354" s="24">
        <v>15</v>
      </c>
      <c r="S354" s="23">
        <v>28</v>
      </c>
      <c r="T354" s="24">
        <v>12</v>
      </c>
      <c r="U354" s="23">
        <v>17</v>
      </c>
      <c r="V354" s="24">
        <v>12</v>
      </c>
      <c r="W354" s="23">
        <v>17</v>
      </c>
      <c r="X354" s="24">
        <v>0</v>
      </c>
      <c r="Y354" s="20">
        <v>24</v>
      </c>
      <c r="Z354" s="19">
        <v>12</v>
      </c>
      <c r="AA354" s="23">
        <v>16</v>
      </c>
      <c r="AB354" s="24">
        <v>0</v>
      </c>
      <c r="AC354" s="23">
        <v>12</v>
      </c>
      <c r="AD354" s="24">
        <v>0</v>
      </c>
      <c r="AE354" s="23">
        <v>12</v>
      </c>
      <c r="AF354" s="24">
        <v>0</v>
      </c>
      <c r="AG354" s="23">
        <v>12</v>
      </c>
      <c r="AH354" s="24">
        <v>12</v>
      </c>
      <c r="AI354" s="23">
        <v>16</v>
      </c>
      <c r="AJ354" s="24">
        <v>12</v>
      </c>
      <c r="AK354" s="23">
        <v>16</v>
      </c>
      <c r="AL354" s="24">
        <v>0</v>
      </c>
      <c r="AM354" s="23">
        <v>12</v>
      </c>
      <c r="AN354" s="24">
        <v>0</v>
      </c>
      <c r="AO354" s="23">
        <v>12</v>
      </c>
      <c r="AP354" s="24">
        <v>0</v>
      </c>
      <c r="AQ354" s="23">
        <v>12</v>
      </c>
      <c r="AR354" s="24">
        <v>0</v>
      </c>
      <c r="AS354" s="20">
        <v>12</v>
      </c>
      <c r="AT354" s="19">
        <v>85</v>
      </c>
      <c r="AU354" s="23">
        <v>50</v>
      </c>
      <c r="AV354" s="24">
        <v>5</v>
      </c>
      <c r="AW354" s="23">
        <v>9</v>
      </c>
      <c r="AX354" s="24">
        <v>5</v>
      </c>
      <c r="AY354" s="23">
        <v>9</v>
      </c>
      <c r="AZ354" s="24">
        <v>0</v>
      </c>
      <c r="BA354" s="23">
        <v>12</v>
      </c>
      <c r="BB354" s="24">
        <v>35</v>
      </c>
      <c r="BC354" s="23">
        <v>27</v>
      </c>
      <c r="BD354" s="24">
        <v>30</v>
      </c>
      <c r="BE354" s="23">
        <v>26</v>
      </c>
      <c r="BF354" s="24">
        <v>5</v>
      </c>
      <c r="BG354" s="23">
        <v>8</v>
      </c>
      <c r="BH354" s="24">
        <v>45</v>
      </c>
      <c r="BI354" s="23">
        <v>38</v>
      </c>
      <c r="BJ354" s="24">
        <v>45</v>
      </c>
      <c r="BK354" s="23">
        <v>38</v>
      </c>
      <c r="BL354" s="24">
        <v>0</v>
      </c>
      <c r="BM354" s="20">
        <v>12</v>
      </c>
      <c r="BN354" s="19">
        <v>54</v>
      </c>
      <c r="BO354" s="23">
        <v>49</v>
      </c>
      <c r="BP354" s="24">
        <v>0</v>
      </c>
      <c r="BQ354" s="23">
        <v>12</v>
      </c>
      <c r="BR354" s="24">
        <v>0</v>
      </c>
      <c r="BS354" s="23">
        <v>12</v>
      </c>
      <c r="BT354" s="26">
        <v>0</v>
      </c>
      <c r="BU354" s="23">
        <v>12</v>
      </c>
      <c r="BV354" s="24">
        <v>34</v>
      </c>
      <c r="BW354" s="23">
        <v>45</v>
      </c>
      <c r="BX354" s="24">
        <v>34</v>
      </c>
      <c r="BY354" s="23">
        <v>45</v>
      </c>
      <c r="BZ354" s="24">
        <v>0</v>
      </c>
      <c r="CA354" s="23">
        <v>12</v>
      </c>
      <c r="CB354" s="24">
        <v>20</v>
      </c>
      <c r="CC354" s="23">
        <v>22</v>
      </c>
      <c r="CD354" s="24">
        <v>20</v>
      </c>
      <c r="CE354" s="23">
        <v>22</v>
      </c>
      <c r="CF354" s="24">
        <v>0</v>
      </c>
      <c r="CG354" s="20">
        <v>12</v>
      </c>
    </row>
    <row r="355" spans="1:85" x14ac:dyDescent="0.3">
      <c r="A355" t="s">
        <v>709</v>
      </c>
      <c r="B355">
        <v>21673</v>
      </c>
      <c r="C355" t="s">
        <v>710</v>
      </c>
      <c r="D355" s="19">
        <v>3229</v>
      </c>
      <c r="E355" s="20">
        <v>254</v>
      </c>
      <c r="F355" s="19">
        <v>525</v>
      </c>
      <c r="G355" s="23">
        <v>242</v>
      </c>
      <c r="H355" s="24">
        <v>95</v>
      </c>
      <c r="I355" s="23">
        <v>76</v>
      </c>
      <c r="J355" s="24">
        <v>95</v>
      </c>
      <c r="K355" s="23">
        <v>76</v>
      </c>
      <c r="L355" s="24">
        <v>0</v>
      </c>
      <c r="M355" s="23">
        <v>24</v>
      </c>
      <c r="N355" s="24">
        <v>313</v>
      </c>
      <c r="O355" s="23">
        <v>158</v>
      </c>
      <c r="P355" s="24">
        <v>235</v>
      </c>
      <c r="Q355" s="23">
        <v>133</v>
      </c>
      <c r="R355" s="24">
        <v>78</v>
      </c>
      <c r="S355" s="23">
        <v>78</v>
      </c>
      <c r="T355" s="24">
        <v>117</v>
      </c>
      <c r="U355" s="23">
        <v>88</v>
      </c>
      <c r="V355" s="24">
        <v>117</v>
      </c>
      <c r="W355" s="23">
        <v>88</v>
      </c>
      <c r="X355" s="24">
        <v>0</v>
      </c>
      <c r="Y355" s="20">
        <v>24</v>
      </c>
      <c r="Z355" s="19">
        <v>147</v>
      </c>
      <c r="AA355" s="23">
        <v>78</v>
      </c>
      <c r="AB355" s="24">
        <v>52</v>
      </c>
      <c r="AC355" s="23">
        <v>34</v>
      </c>
      <c r="AD355" s="24">
        <v>52</v>
      </c>
      <c r="AE355" s="23">
        <v>34</v>
      </c>
      <c r="AF355" s="24">
        <v>0</v>
      </c>
      <c r="AG355" s="23">
        <v>12</v>
      </c>
      <c r="AH355" s="24">
        <v>68</v>
      </c>
      <c r="AI355" s="23">
        <v>39</v>
      </c>
      <c r="AJ355" s="24">
        <v>41</v>
      </c>
      <c r="AK355" s="23">
        <v>27</v>
      </c>
      <c r="AL355" s="24">
        <v>27</v>
      </c>
      <c r="AM355" s="23">
        <v>30</v>
      </c>
      <c r="AN355" s="24">
        <v>27</v>
      </c>
      <c r="AO355" s="23">
        <v>31</v>
      </c>
      <c r="AP355" s="24">
        <v>27</v>
      </c>
      <c r="AQ355" s="23">
        <v>31</v>
      </c>
      <c r="AR355" s="24">
        <v>0</v>
      </c>
      <c r="AS355" s="20">
        <v>12</v>
      </c>
      <c r="AT355" s="19">
        <v>1023</v>
      </c>
      <c r="AU355" s="23">
        <v>239</v>
      </c>
      <c r="AV355" s="24">
        <v>276</v>
      </c>
      <c r="AW355" s="23">
        <v>106</v>
      </c>
      <c r="AX355" s="24">
        <v>276</v>
      </c>
      <c r="AY355" s="23">
        <v>106</v>
      </c>
      <c r="AZ355" s="24">
        <v>0</v>
      </c>
      <c r="BA355" s="23">
        <v>12</v>
      </c>
      <c r="BB355" s="24">
        <v>558</v>
      </c>
      <c r="BC355" s="23">
        <v>142</v>
      </c>
      <c r="BD355" s="24">
        <v>499</v>
      </c>
      <c r="BE355" s="23">
        <v>133</v>
      </c>
      <c r="BF355" s="24">
        <v>59</v>
      </c>
      <c r="BG355" s="23">
        <v>57</v>
      </c>
      <c r="BH355" s="24">
        <v>189</v>
      </c>
      <c r="BI355" s="23">
        <v>71</v>
      </c>
      <c r="BJ355" s="24">
        <v>189</v>
      </c>
      <c r="BK355" s="23">
        <v>71</v>
      </c>
      <c r="BL355" s="24">
        <v>0</v>
      </c>
      <c r="BM355" s="20">
        <v>12</v>
      </c>
      <c r="BN355" s="19">
        <v>1534</v>
      </c>
      <c r="BO355" s="23">
        <v>236</v>
      </c>
      <c r="BP355" s="24">
        <v>230</v>
      </c>
      <c r="BQ355" s="23">
        <v>69</v>
      </c>
      <c r="BR355" s="24">
        <v>230</v>
      </c>
      <c r="BS355" s="23">
        <v>69</v>
      </c>
      <c r="BT355" s="26">
        <v>0</v>
      </c>
      <c r="BU355" s="23">
        <v>12</v>
      </c>
      <c r="BV355" s="24">
        <v>967</v>
      </c>
      <c r="BW355" s="23">
        <v>161</v>
      </c>
      <c r="BX355" s="24">
        <v>929</v>
      </c>
      <c r="BY355" s="23">
        <v>157</v>
      </c>
      <c r="BZ355" s="24">
        <v>38</v>
      </c>
      <c r="CA355" s="23">
        <v>33</v>
      </c>
      <c r="CB355" s="24">
        <v>337</v>
      </c>
      <c r="CC355" s="23">
        <v>133</v>
      </c>
      <c r="CD355" s="24">
        <v>337</v>
      </c>
      <c r="CE355" s="23">
        <v>133</v>
      </c>
      <c r="CF355" s="24">
        <v>0</v>
      </c>
      <c r="CG355" s="20">
        <v>12</v>
      </c>
    </row>
    <row r="356" spans="1:85" x14ac:dyDescent="0.3">
      <c r="A356" t="s">
        <v>711</v>
      </c>
      <c r="B356">
        <v>21675</v>
      </c>
      <c r="C356" t="s">
        <v>712</v>
      </c>
      <c r="D356" s="19">
        <v>184</v>
      </c>
      <c r="E356" s="20">
        <v>133</v>
      </c>
      <c r="F356" s="19">
        <v>94</v>
      </c>
      <c r="G356" s="23">
        <v>138</v>
      </c>
      <c r="H356" s="24">
        <v>61</v>
      </c>
      <c r="I356" s="23">
        <v>95</v>
      </c>
      <c r="J356" s="24">
        <v>61</v>
      </c>
      <c r="K356" s="23">
        <v>95</v>
      </c>
      <c r="L356" s="24">
        <v>0</v>
      </c>
      <c r="M356" s="23">
        <v>24</v>
      </c>
      <c r="N356" s="24">
        <v>28</v>
      </c>
      <c r="O356" s="23">
        <v>55</v>
      </c>
      <c r="P356" s="24">
        <v>28</v>
      </c>
      <c r="Q356" s="23">
        <v>55</v>
      </c>
      <c r="R356" s="24">
        <v>0</v>
      </c>
      <c r="S356" s="23">
        <v>24</v>
      </c>
      <c r="T356" s="24">
        <v>5</v>
      </c>
      <c r="U356" s="23">
        <v>20</v>
      </c>
      <c r="V356" s="24">
        <v>5</v>
      </c>
      <c r="W356" s="23">
        <v>20</v>
      </c>
      <c r="X356" s="24">
        <v>0</v>
      </c>
      <c r="Y356" s="20">
        <v>24</v>
      </c>
      <c r="Z356" s="19">
        <v>6</v>
      </c>
      <c r="AA356" s="23">
        <v>9</v>
      </c>
      <c r="AB356" s="24">
        <v>0</v>
      </c>
      <c r="AC356" s="23">
        <v>12</v>
      </c>
      <c r="AD356" s="24">
        <v>0</v>
      </c>
      <c r="AE356" s="23">
        <v>12</v>
      </c>
      <c r="AF356" s="24">
        <v>0</v>
      </c>
      <c r="AG356" s="23">
        <v>12</v>
      </c>
      <c r="AH356" s="24">
        <v>0</v>
      </c>
      <c r="AI356" s="23">
        <v>12</v>
      </c>
      <c r="AJ356" s="24">
        <v>0</v>
      </c>
      <c r="AK356" s="23">
        <v>12</v>
      </c>
      <c r="AL356" s="24">
        <v>0</v>
      </c>
      <c r="AM356" s="23">
        <v>12</v>
      </c>
      <c r="AN356" s="24">
        <v>6</v>
      </c>
      <c r="AO356" s="23">
        <v>9</v>
      </c>
      <c r="AP356" s="24">
        <v>6</v>
      </c>
      <c r="AQ356" s="23">
        <v>9</v>
      </c>
      <c r="AR356" s="24">
        <v>0</v>
      </c>
      <c r="AS356" s="20">
        <v>12</v>
      </c>
      <c r="AT356" s="19">
        <v>59</v>
      </c>
      <c r="AU356" s="23">
        <v>51</v>
      </c>
      <c r="AV356" s="24">
        <v>0</v>
      </c>
      <c r="AW356" s="23">
        <v>12</v>
      </c>
      <c r="AX356" s="24">
        <v>0</v>
      </c>
      <c r="AY356" s="23">
        <v>12</v>
      </c>
      <c r="AZ356" s="24">
        <v>0</v>
      </c>
      <c r="BA356" s="23">
        <v>12</v>
      </c>
      <c r="BB356" s="24">
        <v>42</v>
      </c>
      <c r="BC356" s="23">
        <v>48</v>
      </c>
      <c r="BD356" s="24">
        <v>42</v>
      </c>
      <c r="BE356" s="23">
        <v>48</v>
      </c>
      <c r="BF356" s="24">
        <v>0</v>
      </c>
      <c r="BG356" s="23">
        <v>12</v>
      </c>
      <c r="BH356" s="24">
        <v>17</v>
      </c>
      <c r="BI356" s="23">
        <v>19</v>
      </c>
      <c r="BJ356" s="24">
        <v>17</v>
      </c>
      <c r="BK356" s="23">
        <v>19</v>
      </c>
      <c r="BL356" s="24">
        <v>0</v>
      </c>
      <c r="BM356" s="20">
        <v>12</v>
      </c>
      <c r="BN356" s="19">
        <v>25</v>
      </c>
      <c r="BO356" s="23">
        <v>26</v>
      </c>
      <c r="BP356" s="24">
        <v>0</v>
      </c>
      <c r="BQ356" s="23">
        <v>12</v>
      </c>
      <c r="BR356" s="24">
        <v>0</v>
      </c>
      <c r="BS356" s="23">
        <v>12</v>
      </c>
      <c r="BT356" s="26">
        <v>0</v>
      </c>
      <c r="BU356" s="23">
        <v>12</v>
      </c>
      <c r="BV356" s="24">
        <v>25</v>
      </c>
      <c r="BW356" s="23">
        <v>26</v>
      </c>
      <c r="BX356" s="24">
        <v>25</v>
      </c>
      <c r="BY356" s="23">
        <v>26</v>
      </c>
      <c r="BZ356" s="24">
        <v>0</v>
      </c>
      <c r="CA356" s="23">
        <v>12</v>
      </c>
      <c r="CB356" s="24">
        <v>0</v>
      </c>
      <c r="CC356" s="23">
        <v>12</v>
      </c>
      <c r="CD356" s="24">
        <v>0</v>
      </c>
      <c r="CE356" s="23">
        <v>12</v>
      </c>
      <c r="CF356" s="24">
        <v>0</v>
      </c>
      <c r="CG356" s="20">
        <v>12</v>
      </c>
    </row>
    <row r="357" spans="1:85" x14ac:dyDescent="0.3">
      <c r="A357" t="s">
        <v>713</v>
      </c>
      <c r="B357">
        <v>21676</v>
      </c>
      <c r="C357" t="s">
        <v>714</v>
      </c>
      <c r="D357" s="19">
        <v>504</v>
      </c>
      <c r="E357" s="20">
        <v>157</v>
      </c>
      <c r="F357" s="19">
        <v>37</v>
      </c>
      <c r="G357" s="23">
        <v>60</v>
      </c>
      <c r="H357" s="24">
        <v>0</v>
      </c>
      <c r="I357" s="23">
        <v>24</v>
      </c>
      <c r="J357" s="24">
        <v>0</v>
      </c>
      <c r="K357" s="23">
        <v>24</v>
      </c>
      <c r="L357" s="24">
        <v>0</v>
      </c>
      <c r="M357" s="23">
        <v>24</v>
      </c>
      <c r="N357" s="24">
        <v>20</v>
      </c>
      <c r="O357" s="23">
        <v>42</v>
      </c>
      <c r="P357" s="24">
        <v>20</v>
      </c>
      <c r="Q357" s="23">
        <v>42</v>
      </c>
      <c r="R357" s="24">
        <v>0</v>
      </c>
      <c r="S357" s="23">
        <v>24</v>
      </c>
      <c r="T357" s="24">
        <v>17</v>
      </c>
      <c r="U357" s="23">
        <v>33</v>
      </c>
      <c r="V357" s="24">
        <v>17</v>
      </c>
      <c r="W357" s="23">
        <v>33</v>
      </c>
      <c r="X357" s="24">
        <v>0</v>
      </c>
      <c r="Y357" s="20">
        <v>24</v>
      </c>
      <c r="Z357" s="19">
        <v>62</v>
      </c>
      <c r="AA357" s="23">
        <v>77</v>
      </c>
      <c r="AB357" s="24">
        <v>35</v>
      </c>
      <c r="AC357" s="23">
        <v>46</v>
      </c>
      <c r="AD357" s="24">
        <v>35</v>
      </c>
      <c r="AE357" s="23">
        <v>46</v>
      </c>
      <c r="AF357" s="24">
        <v>0</v>
      </c>
      <c r="AG357" s="23">
        <v>12</v>
      </c>
      <c r="AH357" s="24">
        <v>27</v>
      </c>
      <c r="AI357" s="23">
        <v>31</v>
      </c>
      <c r="AJ357" s="24">
        <v>4</v>
      </c>
      <c r="AK357" s="23">
        <v>6</v>
      </c>
      <c r="AL357" s="24">
        <v>23</v>
      </c>
      <c r="AM357" s="23">
        <v>31</v>
      </c>
      <c r="AN357" s="24">
        <v>0</v>
      </c>
      <c r="AO357" s="23">
        <v>12</v>
      </c>
      <c r="AP357" s="24">
        <v>0</v>
      </c>
      <c r="AQ357" s="23">
        <v>12</v>
      </c>
      <c r="AR357" s="24">
        <v>0</v>
      </c>
      <c r="AS357" s="20">
        <v>12</v>
      </c>
      <c r="AT357" s="19">
        <v>247</v>
      </c>
      <c r="AU357" s="23">
        <v>112</v>
      </c>
      <c r="AV357" s="24">
        <v>49</v>
      </c>
      <c r="AW357" s="23">
        <v>47</v>
      </c>
      <c r="AX357" s="24">
        <v>36</v>
      </c>
      <c r="AY357" s="23">
        <v>45</v>
      </c>
      <c r="AZ357" s="24">
        <v>13</v>
      </c>
      <c r="BA357" s="23">
        <v>15</v>
      </c>
      <c r="BB357" s="24">
        <v>132</v>
      </c>
      <c r="BC357" s="23">
        <v>68</v>
      </c>
      <c r="BD357" s="24">
        <v>73</v>
      </c>
      <c r="BE357" s="23">
        <v>43</v>
      </c>
      <c r="BF357" s="24">
        <v>59</v>
      </c>
      <c r="BG357" s="23">
        <v>52</v>
      </c>
      <c r="BH357" s="24">
        <v>66</v>
      </c>
      <c r="BI357" s="23">
        <v>48</v>
      </c>
      <c r="BJ357" s="24">
        <v>66</v>
      </c>
      <c r="BK357" s="23">
        <v>48</v>
      </c>
      <c r="BL357" s="24">
        <v>0</v>
      </c>
      <c r="BM357" s="20">
        <v>12</v>
      </c>
      <c r="BN357" s="19">
        <v>158</v>
      </c>
      <c r="BO357" s="23">
        <v>97</v>
      </c>
      <c r="BP357" s="24">
        <v>48</v>
      </c>
      <c r="BQ357" s="23">
        <v>41</v>
      </c>
      <c r="BR357" s="24">
        <v>48</v>
      </c>
      <c r="BS357" s="23">
        <v>41</v>
      </c>
      <c r="BT357" s="26">
        <v>0</v>
      </c>
      <c r="BU357" s="23">
        <v>12</v>
      </c>
      <c r="BV357" s="24">
        <v>76</v>
      </c>
      <c r="BW357" s="23">
        <v>53</v>
      </c>
      <c r="BX357" s="24">
        <v>76</v>
      </c>
      <c r="BY357" s="23">
        <v>53</v>
      </c>
      <c r="BZ357" s="24">
        <v>0</v>
      </c>
      <c r="CA357" s="23">
        <v>12</v>
      </c>
      <c r="CB357" s="24">
        <v>34</v>
      </c>
      <c r="CC357" s="23">
        <v>26</v>
      </c>
      <c r="CD357" s="24">
        <v>34</v>
      </c>
      <c r="CE357" s="23">
        <v>26</v>
      </c>
      <c r="CF357" s="24">
        <v>0</v>
      </c>
      <c r="CG357" s="20">
        <v>12</v>
      </c>
    </row>
    <row r="358" spans="1:85" x14ac:dyDescent="0.3">
      <c r="A358" t="s">
        <v>715</v>
      </c>
      <c r="B358">
        <v>21677</v>
      </c>
      <c r="C358" t="s">
        <v>716</v>
      </c>
      <c r="D358" s="19">
        <v>382</v>
      </c>
      <c r="E358" s="20">
        <v>149</v>
      </c>
      <c r="F358" s="19">
        <v>14</v>
      </c>
      <c r="G358" s="23">
        <v>28</v>
      </c>
      <c r="H358" s="24">
        <v>0</v>
      </c>
      <c r="I358" s="23">
        <v>24</v>
      </c>
      <c r="J358" s="24">
        <v>0</v>
      </c>
      <c r="K358" s="23">
        <v>24</v>
      </c>
      <c r="L358" s="24">
        <v>0</v>
      </c>
      <c r="M358" s="23">
        <v>24</v>
      </c>
      <c r="N358" s="24">
        <v>5</v>
      </c>
      <c r="O358" s="23">
        <v>20</v>
      </c>
      <c r="P358" s="24">
        <v>5</v>
      </c>
      <c r="Q358" s="23">
        <v>20</v>
      </c>
      <c r="R358" s="24">
        <v>0</v>
      </c>
      <c r="S358" s="23">
        <v>24</v>
      </c>
      <c r="T358" s="24">
        <v>9</v>
      </c>
      <c r="U358" s="23">
        <v>25</v>
      </c>
      <c r="V358" s="24">
        <v>9</v>
      </c>
      <c r="W358" s="23">
        <v>25</v>
      </c>
      <c r="X358" s="24">
        <v>0</v>
      </c>
      <c r="Y358" s="20">
        <v>24</v>
      </c>
      <c r="Z358" s="19">
        <v>38</v>
      </c>
      <c r="AA358" s="23">
        <v>27</v>
      </c>
      <c r="AB358" s="24">
        <v>0</v>
      </c>
      <c r="AC358" s="23">
        <v>12</v>
      </c>
      <c r="AD358" s="24">
        <v>0</v>
      </c>
      <c r="AE358" s="23">
        <v>12</v>
      </c>
      <c r="AF358" s="24">
        <v>0</v>
      </c>
      <c r="AG358" s="23">
        <v>12</v>
      </c>
      <c r="AH358" s="24">
        <v>4</v>
      </c>
      <c r="AI358" s="23">
        <v>6</v>
      </c>
      <c r="AJ358" s="24">
        <v>4</v>
      </c>
      <c r="AK358" s="23">
        <v>6</v>
      </c>
      <c r="AL358" s="24">
        <v>0</v>
      </c>
      <c r="AM358" s="23">
        <v>12</v>
      </c>
      <c r="AN358" s="24">
        <v>34</v>
      </c>
      <c r="AO358" s="23">
        <v>28</v>
      </c>
      <c r="AP358" s="24">
        <v>34</v>
      </c>
      <c r="AQ358" s="23">
        <v>28</v>
      </c>
      <c r="AR358" s="24">
        <v>0</v>
      </c>
      <c r="AS358" s="20">
        <v>12</v>
      </c>
      <c r="AT358" s="19">
        <v>150</v>
      </c>
      <c r="AU358" s="23">
        <v>82</v>
      </c>
      <c r="AV358" s="24">
        <v>9</v>
      </c>
      <c r="AW358" s="23">
        <v>14</v>
      </c>
      <c r="AX358" s="24">
        <v>9</v>
      </c>
      <c r="AY358" s="23">
        <v>14</v>
      </c>
      <c r="AZ358" s="24">
        <v>0</v>
      </c>
      <c r="BA358" s="23">
        <v>12</v>
      </c>
      <c r="BB358" s="24">
        <v>34</v>
      </c>
      <c r="BC358" s="23">
        <v>43</v>
      </c>
      <c r="BD358" s="24">
        <v>34</v>
      </c>
      <c r="BE358" s="23">
        <v>43</v>
      </c>
      <c r="BF358" s="24">
        <v>0</v>
      </c>
      <c r="BG358" s="23">
        <v>12</v>
      </c>
      <c r="BH358" s="24">
        <v>107</v>
      </c>
      <c r="BI358" s="23">
        <v>64</v>
      </c>
      <c r="BJ358" s="24">
        <v>107</v>
      </c>
      <c r="BK358" s="23">
        <v>64</v>
      </c>
      <c r="BL358" s="24">
        <v>0</v>
      </c>
      <c r="BM358" s="20">
        <v>12</v>
      </c>
      <c r="BN358" s="19">
        <v>180</v>
      </c>
      <c r="BO358" s="23">
        <v>127</v>
      </c>
      <c r="BP358" s="24">
        <v>19</v>
      </c>
      <c r="BQ358" s="23">
        <v>24</v>
      </c>
      <c r="BR358" s="24">
        <v>19</v>
      </c>
      <c r="BS358" s="23">
        <v>24</v>
      </c>
      <c r="BT358" s="26">
        <v>0</v>
      </c>
      <c r="BU358" s="23">
        <v>12</v>
      </c>
      <c r="BV358" s="24">
        <v>109</v>
      </c>
      <c r="BW358" s="23">
        <v>98</v>
      </c>
      <c r="BX358" s="24">
        <v>96</v>
      </c>
      <c r="BY358" s="23">
        <v>86</v>
      </c>
      <c r="BZ358" s="24">
        <v>13</v>
      </c>
      <c r="CA358" s="23">
        <v>18</v>
      </c>
      <c r="CB358" s="24">
        <v>52</v>
      </c>
      <c r="CC358" s="23">
        <v>33</v>
      </c>
      <c r="CD358" s="24">
        <v>52</v>
      </c>
      <c r="CE358" s="23">
        <v>33</v>
      </c>
      <c r="CF358" s="24">
        <v>0</v>
      </c>
      <c r="CG358" s="20">
        <v>12</v>
      </c>
    </row>
    <row r="359" spans="1:85" x14ac:dyDescent="0.3">
      <c r="A359" t="s">
        <v>717</v>
      </c>
      <c r="B359">
        <v>21678</v>
      </c>
      <c r="C359" t="s">
        <v>718</v>
      </c>
      <c r="D359" s="19">
        <v>1979</v>
      </c>
      <c r="E359" s="20">
        <v>369</v>
      </c>
      <c r="F359" s="19">
        <v>478</v>
      </c>
      <c r="G359" s="23">
        <v>319</v>
      </c>
      <c r="H359" s="24">
        <v>128</v>
      </c>
      <c r="I359" s="23">
        <v>149</v>
      </c>
      <c r="J359" s="24">
        <v>128</v>
      </c>
      <c r="K359" s="23">
        <v>149</v>
      </c>
      <c r="L359" s="24">
        <v>0</v>
      </c>
      <c r="M359" s="23">
        <v>24</v>
      </c>
      <c r="N359" s="24">
        <v>300</v>
      </c>
      <c r="O359" s="23">
        <v>220</v>
      </c>
      <c r="P359" s="24">
        <v>225</v>
      </c>
      <c r="Q359" s="23">
        <v>189</v>
      </c>
      <c r="R359" s="24">
        <v>75</v>
      </c>
      <c r="S359" s="23">
        <v>92</v>
      </c>
      <c r="T359" s="24">
        <v>50</v>
      </c>
      <c r="U359" s="23">
        <v>52</v>
      </c>
      <c r="V359" s="24">
        <v>50</v>
      </c>
      <c r="W359" s="23">
        <v>52</v>
      </c>
      <c r="X359" s="24">
        <v>0</v>
      </c>
      <c r="Y359" s="20">
        <v>24</v>
      </c>
      <c r="Z359" s="19">
        <v>228</v>
      </c>
      <c r="AA359" s="23">
        <v>158</v>
      </c>
      <c r="AB359" s="24">
        <v>24</v>
      </c>
      <c r="AC359" s="23">
        <v>36</v>
      </c>
      <c r="AD359" s="24">
        <v>24</v>
      </c>
      <c r="AE359" s="23">
        <v>36</v>
      </c>
      <c r="AF359" s="24">
        <v>0</v>
      </c>
      <c r="AG359" s="23">
        <v>12</v>
      </c>
      <c r="AH359" s="24">
        <v>112</v>
      </c>
      <c r="AI359" s="23">
        <v>106</v>
      </c>
      <c r="AJ359" s="24">
        <v>112</v>
      </c>
      <c r="AK359" s="23">
        <v>106</v>
      </c>
      <c r="AL359" s="24">
        <v>0</v>
      </c>
      <c r="AM359" s="23">
        <v>12</v>
      </c>
      <c r="AN359" s="24">
        <v>92</v>
      </c>
      <c r="AO359" s="23">
        <v>50</v>
      </c>
      <c r="AP359" s="24">
        <v>92</v>
      </c>
      <c r="AQ359" s="23">
        <v>50</v>
      </c>
      <c r="AR359" s="24">
        <v>0</v>
      </c>
      <c r="AS359" s="20">
        <v>12</v>
      </c>
      <c r="AT359" s="19">
        <v>673</v>
      </c>
      <c r="AU359" s="23">
        <v>295</v>
      </c>
      <c r="AV359" s="24">
        <v>158</v>
      </c>
      <c r="AW359" s="23">
        <v>115</v>
      </c>
      <c r="AX359" s="24">
        <v>133</v>
      </c>
      <c r="AY359" s="23">
        <v>115</v>
      </c>
      <c r="AZ359" s="24">
        <v>25</v>
      </c>
      <c r="BA359" s="23">
        <v>37</v>
      </c>
      <c r="BB359" s="24">
        <v>313</v>
      </c>
      <c r="BC359" s="23">
        <v>157</v>
      </c>
      <c r="BD359" s="24">
        <v>313</v>
      </c>
      <c r="BE359" s="23">
        <v>157</v>
      </c>
      <c r="BF359" s="24">
        <v>0</v>
      </c>
      <c r="BG359" s="23">
        <v>12</v>
      </c>
      <c r="BH359" s="24">
        <v>202</v>
      </c>
      <c r="BI359" s="23">
        <v>93</v>
      </c>
      <c r="BJ359" s="24">
        <v>202</v>
      </c>
      <c r="BK359" s="23">
        <v>93</v>
      </c>
      <c r="BL359" s="24">
        <v>0</v>
      </c>
      <c r="BM359" s="20">
        <v>12</v>
      </c>
      <c r="BN359" s="19">
        <v>600</v>
      </c>
      <c r="BO359" s="23">
        <v>201</v>
      </c>
      <c r="BP359" s="24">
        <v>112</v>
      </c>
      <c r="BQ359" s="23">
        <v>87</v>
      </c>
      <c r="BR359" s="24">
        <v>112</v>
      </c>
      <c r="BS359" s="23">
        <v>87</v>
      </c>
      <c r="BT359" s="26">
        <v>0</v>
      </c>
      <c r="BU359" s="23">
        <v>12</v>
      </c>
      <c r="BV359" s="24">
        <v>365</v>
      </c>
      <c r="BW359" s="23">
        <v>126</v>
      </c>
      <c r="BX359" s="24">
        <v>346</v>
      </c>
      <c r="BY359" s="23">
        <v>120</v>
      </c>
      <c r="BZ359" s="24">
        <v>19</v>
      </c>
      <c r="CA359" s="23">
        <v>31</v>
      </c>
      <c r="CB359" s="24">
        <v>123</v>
      </c>
      <c r="CC359" s="23">
        <v>63</v>
      </c>
      <c r="CD359" s="24">
        <v>123</v>
      </c>
      <c r="CE359" s="23">
        <v>63</v>
      </c>
      <c r="CF359" s="24">
        <v>0</v>
      </c>
      <c r="CG359" s="20">
        <v>12</v>
      </c>
    </row>
    <row r="360" spans="1:85" x14ac:dyDescent="0.3">
      <c r="A360" t="s">
        <v>719</v>
      </c>
      <c r="B360">
        <v>21679</v>
      </c>
      <c r="C360" t="s">
        <v>720</v>
      </c>
      <c r="D360" s="19">
        <v>350</v>
      </c>
      <c r="E360" s="20">
        <v>117</v>
      </c>
      <c r="F360" s="19">
        <v>0</v>
      </c>
      <c r="G360" s="23">
        <v>24</v>
      </c>
      <c r="H360" s="24">
        <v>0</v>
      </c>
      <c r="I360" s="23">
        <v>24</v>
      </c>
      <c r="J360" s="24">
        <v>0</v>
      </c>
      <c r="K360" s="23">
        <v>24</v>
      </c>
      <c r="L360" s="24">
        <v>0</v>
      </c>
      <c r="M360" s="23">
        <v>24</v>
      </c>
      <c r="N360" s="24">
        <v>0</v>
      </c>
      <c r="O360" s="23">
        <v>24</v>
      </c>
      <c r="P360" s="24">
        <v>0</v>
      </c>
      <c r="Q360" s="23">
        <v>24</v>
      </c>
      <c r="R360" s="24">
        <v>0</v>
      </c>
      <c r="S360" s="23">
        <v>24</v>
      </c>
      <c r="T360" s="24">
        <v>0</v>
      </c>
      <c r="U360" s="23">
        <v>24</v>
      </c>
      <c r="V360" s="24">
        <v>0</v>
      </c>
      <c r="W360" s="23">
        <v>24</v>
      </c>
      <c r="X360" s="24">
        <v>0</v>
      </c>
      <c r="Y360" s="20">
        <v>24</v>
      </c>
      <c r="Z360" s="19">
        <v>0</v>
      </c>
      <c r="AA360" s="23">
        <v>12</v>
      </c>
      <c r="AB360" s="24">
        <v>0</v>
      </c>
      <c r="AC360" s="23">
        <v>12</v>
      </c>
      <c r="AD360" s="24">
        <v>0</v>
      </c>
      <c r="AE360" s="23">
        <v>12</v>
      </c>
      <c r="AF360" s="24">
        <v>0</v>
      </c>
      <c r="AG360" s="23">
        <v>12</v>
      </c>
      <c r="AH360" s="24">
        <v>0</v>
      </c>
      <c r="AI360" s="23">
        <v>12</v>
      </c>
      <c r="AJ360" s="24">
        <v>0</v>
      </c>
      <c r="AK360" s="23">
        <v>12</v>
      </c>
      <c r="AL360" s="24">
        <v>0</v>
      </c>
      <c r="AM360" s="23">
        <v>12</v>
      </c>
      <c r="AN360" s="24">
        <v>0</v>
      </c>
      <c r="AO360" s="23">
        <v>12</v>
      </c>
      <c r="AP360" s="24">
        <v>0</v>
      </c>
      <c r="AQ360" s="23">
        <v>12</v>
      </c>
      <c r="AR360" s="24">
        <v>0</v>
      </c>
      <c r="AS360" s="20">
        <v>12</v>
      </c>
      <c r="AT360" s="19">
        <v>95</v>
      </c>
      <c r="AU360" s="23">
        <v>94</v>
      </c>
      <c r="AV360" s="24">
        <v>0</v>
      </c>
      <c r="AW360" s="23">
        <v>12</v>
      </c>
      <c r="AX360" s="24">
        <v>0</v>
      </c>
      <c r="AY360" s="23">
        <v>12</v>
      </c>
      <c r="AZ360" s="24">
        <v>0</v>
      </c>
      <c r="BA360" s="23">
        <v>12</v>
      </c>
      <c r="BB360" s="24">
        <v>7</v>
      </c>
      <c r="BC360" s="23">
        <v>10</v>
      </c>
      <c r="BD360" s="24">
        <v>7</v>
      </c>
      <c r="BE360" s="23">
        <v>10</v>
      </c>
      <c r="BF360" s="24">
        <v>0</v>
      </c>
      <c r="BG360" s="23">
        <v>12</v>
      </c>
      <c r="BH360" s="24">
        <v>88</v>
      </c>
      <c r="BI360" s="23">
        <v>94</v>
      </c>
      <c r="BJ360" s="24">
        <v>88</v>
      </c>
      <c r="BK360" s="23">
        <v>94</v>
      </c>
      <c r="BL360" s="24">
        <v>0</v>
      </c>
      <c r="BM360" s="20">
        <v>12</v>
      </c>
      <c r="BN360" s="19">
        <v>255</v>
      </c>
      <c r="BO360" s="23">
        <v>101</v>
      </c>
      <c r="BP360" s="24">
        <v>34</v>
      </c>
      <c r="BQ360" s="23">
        <v>34</v>
      </c>
      <c r="BR360" s="24">
        <v>34</v>
      </c>
      <c r="BS360" s="23">
        <v>34</v>
      </c>
      <c r="BT360" s="26">
        <v>0</v>
      </c>
      <c r="BU360" s="23">
        <v>12</v>
      </c>
      <c r="BV360" s="24">
        <v>150</v>
      </c>
      <c r="BW360" s="23">
        <v>52</v>
      </c>
      <c r="BX360" s="24">
        <v>150</v>
      </c>
      <c r="BY360" s="23">
        <v>52</v>
      </c>
      <c r="BZ360" s="24">
        <v>0</v>
      </c>
      <c r="CA360" s="23">
        <v>12</v>
      </c>
      <c r="CB360" s="24">
        <v>71</v>
      </c>
      <c r="CC360" s="23">
        <v>59</v>
      </c>
      <c r="CD360" s="24">
        <v>71</v>
      </c>
      <c r="CE360" s="23">
        <v>59</v>
      </c>
      <c r="CF360" s="24">
        <v>0</v>
      </c>
      <c r="CG360" s="20">
        <v>12</v>
      </c>
    </row>
    <row r="361" spans="1:85" x14ac:dyDescent="0.3">
      <c r="A361" t="s">
        <v>721</v>
      </c>
      <c r="B361">
        <v>21701</v>
      </c>
      <c r="C361" t="s">
        <v>722</v>
      </c>
      <c r="D361" s="19">
        <v>35602</v>
      </c>
      <c r="E361" s="20">
        <v>801</v>
      </c>
      <c r="F361" s="19">
        <v>4135</v>
      </c>
      <c r="G361" s="23">
        <v>705</v>
      </c>
      <c r="H361" s="24">
        <v>875</v>
      </c>
      <c r="I361" s="23">
        <v>295</v>
      </c>
      <c r="J361" s="24">
        <v>857</v>
      </c>
      <c r="K361" s="23">
        <v>285</v>
      </c>
      <c r="L361" s="24">
        <v>18</v>
      </c>
      <c r="M361" s="23">
        <v>53</v>
      </c>
      <c r="N361" s="24">
        <v>2516</v>
      </c>
      <c r="O361" s="23">
        <v>475</v>
      </c>
      <c r="P361" s="24">
        <v>2063</v>
      </c>
      <c r="Q361" s="23">
        <v>401</v>
      </c>
      <c r="R361" s="24">
        <v>453</v>
      </c>
      <c r="S361" s="23">
        <v>230</v>
      </c>
      <c r="T361" s="24">
        <v>744</v>
      </c>
      <c r="U361" s="23">
        <v>241</v>
      </c>
      <c r="V361" s="24">
        <v>716</v>
      </c>
      <c r="W361" s="23">
        <v>242</v>
      </c>
      <c r="X361" s="24">
        <v>28</v>
      </c>
      <c r="Y361" s="20">
        <v>67</v>
      </c>
      <c r="Z361" s="19">
        <v>2554</v>
      </c>
      <c r="AA361" s="23">
        <v>595</v>
      </c>
      <c r="AB361" s="24">
        <v>652</v>
      </c>
      <c r="AC361" s="23">
        <v>281</v>
      </c>
      <c r="AD361" s="24">
        <v>610</v>
      </c>
      <c r="AE361" s="23">
        <v>278</v>
      </c>
      <c r="AF361" s="24">
        <v>42</v>
      </c>
      <c r="AG361" s="23">
        <v>49</v>
      </c>
      <c r="AH361" s="24">
        <v>1460</v>
      </c>
      <c r="AI361" s="23">
        <v>354</v>
      </c>
      <c r="AJ361" s="24">
        <v>1252</v>
      </c>
      <c r="AK361" s="23">
        <v>310</v>
      </c>
      <c r="AL361" s="24">
        <v>208</v>
      </c>
      <c r="AM361" s="23">
        <v>113</v>
      </c>
      <c r="AN361" s="24">
        <v>442</v>
      </c>
      <c r="AO361" s="23">
        <v>135</v>
      </c>
      <c r="AP361" s="24">
        <v>442</v>
      </c>
      <c r="AQ361" s="23">
        <v>135</v>
      </c>
      <c r="AR361" s="24">
        <v>0</v>
      </c>
      <c r="AS361" s="20">
        <v>25</v>
      </c>
      <c r="AT361" s="19">
        <v>10122</v>
      </c>
      <c r="AU361" s="23">
        <v>1012</v>
      </c>
      <c r="AV361" s="24">
        <v>2414</v>
      </c>
      <c r="AW361" s="23">
        <v>447</v>
      </c>
      <c r="AX361" s="24">
        <v>2319</v>
      </c>
      <c r="AY361" s="23">
        <v>438</v>
      </c>
      <c r="AZ361" s="24">
        <v>95</v>
      </c>
      <c r="BA361" s="23">
        <v>95</v>
      </c>
      <c r="BB361" s="24">
        <v>5858</v>
      </c>
      <c r="BC361" s="23">
        <v>569</v>
      </c>
      <c r="BD361" s="24">
        <v>5173</v>
      </c>
      <c r="BE361" s="23">
        <v>553</v>
      </c>
      <c r="BF361" s="24">
        <v>685</v>
      </c>
      <c r="BG361" s="23">
        <v>236</v>
      </c>
      <c r="BH361" s="24">
        <v>1850</v>
      </c>
      <c r="BI361" s="23">
        <v>287</v>
      </c>
      <c r="BJ361" s="24">
        <v>1833</v>
      </c>
      <c r="BK361" s="23">
        <v>285</v>
      </c>
      <c r="BL361" s="24">
        <v>17</v>
      </c>
      <c r="BM361" s="20">
        <v>26</v>
      </c>
      <c r="BN361" s="19">
        <v>18791</v>
      </c>
      <c r="BO361" s="23">
        <v>1084</v>
      </c>
      <c r="BP361" s="24">
        <v>3288</v>
      </c>
      <c r="BQ361" s="23">
        <v>442</v>
      </c>
      <c r="BR361" s="24">
        <v>3197</v>
      </c>
      <c r="BS361" s="23">
        <v>430</v>
      </c>
      <c r="BT361" s="26">
        <v>91</v>
      </c>
      <c r="BU361" s="23">
        <v>60</v>
      </c>
      <c r="BV361" s="24">
        <v>12949</v>
      </c>
      <c r="BW361" s="23">
        <v>697</v>
      </c>
      <c r="BX361" s="24">
        <v>12592</v>
      </c>
      <c r="BY361" s="23">
        <v>681</v>
      </c>
      <c r="BZ361" s="24">
        <v>357</v>
      </c>
      <c r="CA361" s="23">
        <v>142</v>
      </c>
      <c r="CB361" s="24">
        <v>2554</v>
      </c>
      <c r="CC361" s="23">
        <v>266</v>
      </c>
      <c r="CD361" s="24">
        <v>2554</v>
      </c>
      <c r="CE361" s="23">
        <v>266</v>
      </c>
      <c r="CF361" s="24">
        <v>0</v>
      </c>
      <c r="CG361" s="20">
        <v>25</v>
      </c>
    </row>
    <row r="362" spans="1:85" x14ac:dyDescent="0.3">
      <c r="A362" t="s">
        <v>723</v>
      </c>
      <c r="B362">
        <v>21702</v>
      </c>
      <c r="C362" t="s">
        <v>724</v>
      </c>
      <c r="D362" s="19">
        <v>40472</v>
      </c>
      <c r="E362" s="20">
        <v>965</v>
      </c>
      <c r="F362" s="19">
        <v>5438</v>
      </c>
      <c r="G362" s="23">
        <v>1482</v>
      </c>
      <c r="H362" s="24">
        <v>1818</v>
      </c>
      <c r="I362" s="23">
        <v>773</v>
      </c>
      <c r="J362" s="24">
        <v>1706</v>
      </c>
      <c r="K362" s="23">
        <v>701</v>
      </c>
      <c r="L362" s="24">
        <v>112</v>
      </c>
      <c r="M362" s="23">
        <v>131</v>
      </c>
      <c r="N362" s="24">
        <v>2982</v>
      </c>
      <c r="O362" s="23">
        <v>816</v>
      </c>
      <c r="P362" s="24">
        <v>2679</v>
      </c>
      <c r="Q362" s="23">
        <v>784</v>
      </c>
      <c r="R362" s="24">
        <v>303</v>
      </c>
      <c r="S362" s="23">
        <v>232</v>
      </c>
      <c r="T362" s="24">
        <v>638</v>
      </c>
      <c r="U362" s="23">
        <v>234</v>
      </c>
      <c r="V362" s="24">
        <v>630</v>
      </c>
      <c r="W362" s="23">
        <v>234</v>
      </c>
      <c r="X362" s="24">
        <v>8</v>
      </c>
      <c r="Y362" s="20">
        <v>38</v>
      </c>
      <c r="Z362" s="19">
        <v>3044</v>
      </c>
      <c r="AA362" s="23">
        <v>1105</v>
      </c>
      <c r="AB362" s="24">
        <v>1027</v>
      </c>
      <c r="AC362" s="23">
        <v>542</v>
      </c>
      <c r="AD362" s="24">
        <v>858</v>
      </c>
      <c r="AE362" s="23">
        <v>448</v>
      </c>
      <c r="AF362" s="24">
        <v>169</v>
      </c>
      <c r="AG362" s="23">
        <v>179</v>
      </c>
      <c r="AH362" s="24">
        <v>1666</v>
      </c>
      <c r="AI362" s="23">
        <v>598</v>
      </c>
      <c r="AJ362" s="24">
        <v>1438</v>
      </c>
      <c r="AK362" s="23">
        <v>523</v>
      </c>
      <c r="AL362" s="24">
        <v>228</v>
      </c>
      <c r="AM362" s="23">
        <v>174</v>
      </c>
      <c r="AN362" s="24">
        <v>351</v>
      </c>
      <c r="AO362" s="23">
        <v>126</v>
      </c>
      <c r="AP362" s="24">
        <v>351</v>
      </c>
      <c r="AQ362" s="23">
        <v>126</v>
      </c>
      <c r="AR362" s="24">
        <v>0</v>
      </c>
      <c r="AS362" s="20">
        <v>25</v>
      </c>
      <c r="AT362" s="19">
        <v>12130</v>
      </c>
      <c r="AU362" s="23">
        <v>1236</v>
      </c>
      <c r="AV362" s="24">
        <v>3423</v>
      </c>
      <c r="AW362" s="23">
        <v>538</v>
      </c>
      <c r="AX362" s="24">
        <v>3334</v>
      </c>
      <c r="AY362" s="23">
        <v>534</v>
      </c>
      <c r="AZ362" s="24">
        <v>89</v>
      </c>
      <c r="BA362" s="23">
        <v>93</v>
      </c>
      <c r="BB362" s="24">
        <v>7247</v>
      </c>
      <c r="BC362" s="23">
        <v>830</v>
      </c>
      <c r="BD362" s="24">
        <v>5776</v>
      </c>
      <c r="BE362" s="23">
        <v>682</v>
      </c>
      <c r="BF362" s="24">
        <v>1471</v>
      </c>
      <c r="BG362" s="23">
        <v>427</v>
      </c>
      <c r="BH362" s="24">
        <v>1460</v>
      </c>
      <c r="BI362" s="23">
        <v>201</v>
      </c>
      <c r="BJ362" s="24">
        <v>1409</v>
      </c>
      <c r="BK362" s="23">
        <v>198</v>
      </c>
      <c r="BL362" s="24">
        <v>51</v>
      </c>
      <c r="BM362" s="20">
        <v>50</v>
      </c>
      <c r="BN362" s="19">
        <v>19860</v>
      </c>
      <c r="BO362" s="23">
        <v>1110</v>
      </c>
      <c r="BP362" s="24">
        <v>3833</v>
      </c>
      <c r="BQ362" s="23">
        <v>504</v>
      </c>
      <c r="BR362" s="24">
        <v>3833</v>
      </c>
      <c r="BS362" s="23">
        <v>504</v>
      </c>
      <c r="BT362" s="26">
        <v>0</v>
      </c>
      <c r="BU362" s="23">
        <v>25</v>
      </c>
      <c r="BV362" s="24">
        <v>13279</v>
      </c>
      <c r="BW362" s="23">
        <v>752</v>
      </c>
      <c r="BX362" s="24">
        <v>12838</v>
      </c>
      <c r="BY362" s="23">
        <v>734</v>
      </c>
      <c r="BZ362" s="24">
        <v>441</v>
      </c>
      <c r="CA362" s="23">
        <v>208</v>
      </c>
      <c r="CB362" s="24">
        <v>2748</v>
      </c>
      <c r="CC362" s="23">
        <v>276</v>
      </c>
      <c r="CD362" s="24">
        <v>2691</v>
      </c>
      <c r="CE362" s="23">
        <v>256</v>
      </c>
      <c r="CF362" s="24">
        <v>57</v>
      </c>
      <c r="CG362" s="20">
        <v>61</v>
      </c>
    </row>
    <row r="363" spans="1:85" x14ac:dyDescent="0.3">
      <c r="A363" t="s">
        <v>725</v>
      </c>
      <c r="B363">
        <v>21703</v>
      </c>
      <c r="C363" t="s">
        <v>726</v>
      </c>
      <c r="D363" s="19">
        <v>35359</v>
      </c>
      <c r="E363" s="20">
        <v>1173</v>
      </c>
      <c r="F363" s="19">
        <v>5581</v>
      </c>
      <c r="G363" s="23">
        <v>1325</v>
      </c>
      <c r="H363" s="24">
        <v>2401</v>
      </c>
      <c r="I363" s="23">
        <v>794</v>
      </c>
      <c r="J363" s="24">
        <v>2352</v>
      </c>
      <c r="K363" s="23">
        <v>791</v>
      </c>
      <c r="L363" s="24">
        <v>49</v>
      </c>
      <c r="M363" s="23">
        <v>74</v>
      </c>
      <c r="N363" s="24">
        <v>2818</v>
      </c>
      <c r="O363" s="23">
        <v>666</v>
      </c>
      <c r="P363" s="24">
        <v>2305</v>
      </c>
      <c r="Q363" s="23">
        <v>608</v>
      </c>
      <c r="R363" s="24">
        <v>513</v>
      </c>
      <c r="S363" s="23">
        <v>300</v>
      </c>
      <c r="T363" s="24">
        <v>362</v>
      </c>
      <c r="U363" s="23">
        <v>186</v>
      </c>
      <c r="V363" s="24">
        <v>362</v>
      </c>
      <c r="W363" s="23">
        <v>186</v>
      </c>
      <c r="X363" s="24">
        <v>0</v>
      </c>
      <c r="Y363" s="20">
        <v>50</v>
      </c>
      <c r="Z363" s="19">
        <v>3260</v>
      </c>
      <c r="AA363" s="23">
        <v>717</v>
      </c>
      <c r="AB363" s="24">
        <v>1339</v>
      </c>
      <c r="AC363" s="23">
        <v>369</v>
      </c>
      <c r="AD363" s="24">
        <v>1288</v>
      </c>
      <c r="AE363" s="23">
        <v>374</v>
      </c>
      <c r="AF363" s="24">
        <v>51</v>
      </c>
      <c r="AG363" s="23">
        <v>74</v>
      </c>
      <c r="AH363" s="24">
        <v>1647</v>
      </c>
      <c r="AI363" s="23">
        <v>394</v>
      </c>
      <c r="AJ363" s="24">
        <v>1202</v>
      </c>
      <c r="AK363" s="23">
        <v>338</v>
      </c>
      <c r="AL363" s="24">
        <v>445</v>
      </c>
      <c r="AM363" s="23">
        <v>207</v>
      </c>
      <c r="AN363" s="24">
        <v>274</v>
      </c>
      <c r="AO363" s="23">
        <v>91</v>
      </c>
      <c r="AP363" s="24">
        <v>274</v>
      </c>
      <c r="AQ363" s="23">
        <v>91</v>
      </c>
      <c r="AR363" s="24">
        <v>0</v>
      </c>
      <c r="AS363" s="20">
        <v>25</v>
      </c>
      <c r="AT363" s="19">
        <v>10481</v>
      </c>
      <c r="AU363" s="23">
        <v>1157</v>
      </c>
      <c r="AV363" s="24">
        <v>2963</v>
      </c>
      <c r="AW363" s="23">
        <v>519</v>
      </c>
      <c r="AX363" s="24">
        <v>2664</v>
      </c>
      <c r="AY363" s="23">
        <v>517</v>
      </c>
      <c r="AZ363" s="24">
        <v>299</v>
      </c>
      <c r="BA363" s="23">
        <v>161</v>
      </c>
      <c r="BB363" s="24">
        <v>6350</v>
      </c>
      <c r="BC363" s="23">
        <v>692</v>
      </c>
      <c r="BD363" s="24">
        <v>5457</v>
      </c>
      <c r="BE363" s="23">
        <v>681</v>
      </c>
      <c r="BF363" s="24">
        <v>893</v>
      </c>
      <c r="BG363" s="23">
        <v>262</v>
      </c>
      <c r="BH363" s="24">
        <v>1168</v>
      </c>
      <c r="BI363" s="23">
        <v>250</v>
      </c>
      <c r="BJ363" s="24">
        <v>1094</v>
      </c>
      <c r="BK363" s="23">
        <v>220</v>
      </c>
      <c r="BL363" s="24">
        <v>74</v>
      </c>
      <c r="BM363" s="20">
        <v>111</v>
      </c>
      <c r="BN363" s="19">
        <v>16037</v>
      </c>
      <c r="BO363" s="23">
        <v>900</v>
      </c>
      <c r="BP363" s="24">
        <v>3141</v>
      </c>
      <c r="BQ363" s="23">
        <v>358</v>
      </c>
      <c r="BR363" s="24">
        <v>3134</v>
      </c>
      <c r="BS363" s="23">
        <v>357</v>
      </c>
      <c r="BT363" s="26">
        <v>7</v>
      </c>
      <c r="BU363" s="23">
        <v>9</v>
      </c>
      <c r="BV363" s="24">
        <v>11421</v>
      </c>
      <c r="BW363" s="23">
        <v>784</v>
      </c>
      <c r="BX363" s="24">
        <v>10993</v>
      </c>
      <c r="BY363" s="23">
        <v>737</v>
      </c>
      <c r="BZ363" s="24">
        <v>428</v>
      </c>
      <c r="CA363" s="23">
        <v>172</v>
      </c>
      <c r="CB363" s="24">
        <v>1475</v>
      </c>
      <c r="CC363" s="23">
        <v>227</v>
      </c>
      <c r="CD363" s="24">
        <v>1459</v>
      </c>
      <c r="CE363" s="23">
        <v>226</v>
      </c>
      <c r="CF363" s="24">
        <v>16</v>
      </c>
      <c r="CG363" s="20">
        <v>17</v>
      </c>
    </row>
    <row r="364" spans="1:85" x14ac:dyDescent="0.3">
      <c r="A364" t="s">
        <v>727</v>
      </c>
      <c r="B364">
        <v>21704</v>
      </c>
      <c r="C364" t="s">
        <v>728</v>
      </c>
      <c r="D364" s="19">
        <v>15638</v>
      </c>
      <c r="E364" s="20">
        <v>670</v>
      </c>
      <c r="F364" s="19">
        <v>993</v>
      </c>
      <c r="G364" s="23">
        <v>586</v>
      </c>
      <c r="H364" s="24">
        <v>203</v>
      </c>
      <c r="I364" s="23">
        <v>205</v>
      </c>
      <c r="J364" s="24">
        <v>203</v>
      </c>
      <c r="K364" s="23">
        <v>205</v>
      </c>
      <c r="L364" s="24">
        <v>0</v>
      </c>
      <c r="M364" s="23">
        <v>38</v>
      </c>
      <c r="N364" s="24">
        <v>480</v>
      </c>
      <c r="O364" s="23">
        <v>323</v>
      </c>
      <c r="P364" s="24">
        <v>370</v>
      </c>
      <c r="Q364" s="23">
        <v>286</v>
      </c>
      <c r="R364" s="24">
        <v>110</v>
      </c>
      <c r="S364" s="23">
        <v>129</v>
      </c>
      <c r="T364" s="24">
        <v>310</v>
      </c>
      <c r="U364" s="23">
        <v>205</v>
      </c>
      <c r="V364" s="24">
        <v>281</v>
      </c>
      <c r="W364" s="23">
        <v>192</v>
      </c>
      <c r="X364" s="24">
        <v>29</v>
      </c>
      <c r="Y364" s="20">
        <v>54</v>
      </c>
      <c r="Z364" s="19">
        <v>396</v>
      </c>
      <c r="AA364" s="23">
        <v>196</v>
      </c>
      <c r="AB364" s="24">
        <v>94</v>
      </c>
      <c r="AC364" s="23">
        <v>88</v>
      </c>
      <c r="AD364" s="24">
        <v>84</v>
      </c>
      <c r="AE364" s="23">
        <v>86</v>
      </c>
      <c r="AF364" s="24">
        <v>10</v>
      </c>
      <c r="AG364" s="23">
        <v>24</v>
      </c>
      <c r="AH364" s="24">
        <v>173</v>
      </c>
      <c r="AI364" s="23">
        <v>90</v>
      </c>
      <c r="AJ364" s="24">
        <v>167</v>
      </c>
      <c r="AK364" s="23">
        <v>85</v>
      </c>
      <c r="AL364" s="24">
        <v>6</v>
      </c>
      <c r="AM364" s="23">
        <v>17</v>
      </c>
      <c r="AN364" s="24">
        <v>129</v>
      </c>
      <c r="AO364" s="23">
        <v>131</v>
      </c>
      <c r="AP364" s="24">
        <v>129</v>
      </c>
      <c r="AQ364" s="23">
        <v>131</v>
      </c>
      <c r="AR364" s="24">
        <v>0</v>
      </c>
      <c r="AS364" s="20">
        <v>19</v>
      </c>
      <c r="AT364" s="19">
        <v>2979</v>
      </c>
      <c r="AU364" s="23">
        <v>592</v>
      </c>
      <c r="AV364" s="24">
        <v>1045</v>
      </c>
      <c r="AW364" s="23">
        <v>289</v>
      </c>
      <c r="AX364" s="24">
        <v>1045</v>
      </c>
      <c r="AY364" s="23">
        <v>289</v>
      </c>
      <c r="AZ364" s="24">
        <v>0</v>
      </c>
      <c r="BA364" s="23">
        <v>19</v>
      </c>
      <c r="BB364" s="24">
        <v>1590</v>
      </c>
      <c r="BC364" s="23">
        <v>390</v>
      </c>
      <c r="BD364" s="24">
        <v>1366</v>
      </c>
      <c r="BE364" s="23">
        <v>326</v>
      </c>
      <c r="BF364" s="24">
        <v>224</v>
      </c>
      <c r="BG364" s="23">
        <v>168</v>
      </c>
      <c r="BH364" s="24">
        <v>344</v>
      </c>
      <c r="BI364" s="23">
        <v>117</v>
      </c>
      <c r="BJ364" s="24">
        <v>344</v>
      </c>
      <c r="BK364" s="23">
        <v>117</v>
      </c>
      <c r="BL364" s="24">
        <v>0</v>
      </c>
      <c r="BM364" s="20">
        <v>19</v>
      </c>
      <c r="BN364" s="19">
        <v>11270</v>
      </c>
      <c r="BO364" s="23">
        <v>779</v>
      </c>
      <c r="BP364" s="24">
        <v>3653</v>
      </c>
      <c r="BQ364" s="23">
        <v>409</v>
      </c>
      <c r="BR364" s="24">
        <v>3600</v>
      </c>
      <c r="BS364" s="23">
        <v>411</v>
      </c>
      <c r="BT364" s="26">
        <v>53</v>
      </c>
      <c r="BU364" s="23">
        <v>42</v>
      </c>
      <c r="BV364" s="24">
        <v>6940</v>
      </c>
      <c r="BW364" s="23">
        <v>511</v>
      </c>
      <c r="BX364" s="24">
        <v>6725</v>
      </c>
      <c r="BY364" s="23">
        <v>487</v>
      </c>
      <c r="BZ364" s="24">
        <v>215</v>
      </c>
      <c r="CA364" s="23">
        <v>104</v>
      </c>
      <c r="CB364" s="24">
        <v>677</v>
      </c>
      <c r="CC364" s="23">
        <v>159</v>
      </c>
      <c r="CD364" s="24">
        <v>677</v>
      </c>
      <c r="CE364" s="23">
        <v>159</v>
      </c>
      <c r="CF364" s="24">
        <v>0</v>
      </c>
      <c r="CG364" s="20">
        <v>19</v>
      </c>
    </row>
    <row r="365" spans="1:85" x14ac:dyDescent="0.3">
      <c r="A365" t="s">
        <v>729</v>
      </c>
      <c r="B365">
        <v>21705</v>
      </c>
      <c r="C365" t="s">
        <v>730</v>
      </c>
      <c r="D365" s="19">
        <v>0</v>
      </c>
      <c r="E365" s="20">
        <v>12</v>
      </c>
      <c r="F365" s="19">
        <v>0</v>
      </c>
      <c r="G365" s="23">
        <v>24</v>
      </c>
      <c r="H365" s="24">
        <v>0</v>
      </c>
      <c r="I365" s="23">
        <v>24</v>
      </c>
      <c r="J365" s="24">
        <v>0</v>
      </c>
      <c r="K365" s="23">
        <v>24</v>
      </c>
      <c r="L365" s="24">
        <v>0</v>
      </c>
      <c r="M365" s="23">
        <v>24</v>
      </c>
      <c r="N365" s="24">
        <v>0</v>
      </c>
      <c r="O365" s="23">
        <v>24</v>
      </c>
      <c r="P365" s="24">
        <v>0</v>
      </c>
      <c r="Q365" s="23">
        <v>24</v>
      </c>
      <c r="R365" s="24">
        <v>0</v>
      </c>
      <c r="S365" s="23">
        <v>24</v>
      </c>
      <c r="T365" s="24">
        <v>0</v>
      </c>
      <c r="U365" s="23">
        <v>24</v>
      </c>
      <c r="V365" s="24">
        <v>0</v>
      </c>
      <c r="W365" s="23">
        <v>24</v>
      </c>
      <c r="X365" s="24">
        <v>0</v>
      </c>
      <c r="Y365" s="20">
        <v>24</v>
      </c>
      <c r="Z365" s="19">
        <v>0</v>
      </c>
      <c r="AA365" s="23">
        <v>12</v>
      </c>
      <c r="AB365" s="24">
        <v>0</v>
      </c>
      <c r="AC365" s="23">
        <v>12</v>
      </c>
      <c r="AD365" s="24">
        <v>0</v>
      </c>
      <c r="AE365" s="23">
        <v>12</v>
      </c>
      <c r="AF365" s="24">
        <v>0</v>
      </c>
      <c r="AG365" s="23">
        <v>12</v>
      </c>
      <c r="AH365" s="24">
        <v>0</v>
      </c>
      <c r="AI365" s="23">
        <v>12</v>
      </c>
      <c r="AJ365" s="24">
        <v>0</v>
      </c>
      <c r="AK365" s="23">
        <v>12</v>
      </c>
      <c r="AL365" s="24">
        <v>0</v>
      </c>
      <c r="AM365" s="23">
        <v>12</v>
      </c>
      <c r="AN365" s="24">
        <v>0</v>
      </c>
      <c r="AO365" s="23">
        <v>12</v>
      </c>
      <c r="AP365" s="24">
        <v>0</v>
      </c>
      <c r="AQ365" s="23">
        <v>12</v>
      </c>
      <c r="AR365" s="24">
        <v>0</v>
      </c>
      <c r="AS365" s="20">
        <v>12</v>
      </c>
      <c r="AT365" s="19">
        <v>0</v>
      </c>
      <c r="AU365" s="23">
        <v>12</v>
      </c>
      <c r="AV365" s="24">
        <v>0</v>
      </c>
      <c r="AW365" s="23">
        <v>12</v>
      </c>
      <c r="AX365" s="24">
        <v>0</v>
      </c>
      <c r="AY365" s="23">
        <v>12</v>
      </c>
      <c r="AZ365" s="24">
        <v>0</v>
      </c>
      <c r="BA365" s="23">
        <v>12</v>
      </c>
      <c r="BB365" s="24">
        <v>0</v>
      </c>
      <c r="BC365" s="23">
        <v>12</v>
      </c>
      <c r="BD365" s="24">
        <v>0</v>
      </c>
      <c r="BE365" s="23">
        <v>12</v>
      </c>
      <c r="BF365" s="24">
        <v>0</v>
      </c>
      <c r="BG365" s="23">
        <v>12</v>
      </c>
      <c r="BH365" s="24">
        <v>0</v>
      </c>
      <c r="BI365" s="23">
        <v>12</v>
      </c>
      <c r="BJ365" s="24">
        <v>0</v>
      </c>
      <c r="BK365" s="23">
        <v>12</v>
      </c>
      <c r="BL365" s="24">
        <v>0</v>
      </c>
      <c r="BM365" s="20">
        <v>12</v>
      </c>
      <c r="BN365" s="19">
        <v>0</v>
      </c>
      <c r="BO365" s="23">
        <v>12</v>
      </c>
      <c r="BP365" s="24">
        <v>0</v>
      </c>
      <c r="BQ365" s="23">
        <v>12</v>
      </c>
      <c r="BR365" s="24">
        <v>0</v>
      </c>
      <c r="BS365" s="23">
        <v>12</v>
      </c>
      <c r="BT365" s="26">
        <v>0</v>
      </c>
      <c r="BU365" s="23">
        <v>12</v>
      </c>
      <c r="BV365" s="24">
        <v>0</v>
      </c>
      <c r="BW365" s="23">
        <v>12</v>
      </c>
      <c r="BX365" s="24">
        <v>0</v>
      </c>
      <c r="BY365" s="23">
        <v>12</v>
      </c>
      <c r="BZ365" s="24">
        <v>0</v>
      </c>
      <c r="CA365" s="23">
        <v>12</v>
      </c>
      <c r="CB365" s="24">
        <v>0</v>
      </c>
      <c r="CC365" s="23">
        <v>12</v>
      </c>
      <c r="CD365" s="24">
        <v>0</v>
      </c>
      <c r="CE365" s="23">
        <v>12</v>
      </c>
      <c r="CF365" s="24">
        <v>0</v>
      </c>
      <c r="CG365" s="20">
        <v>12</v>
      </c>
    </row>
    <row r="366" spans="1:85" x14ac:dyDescent="0.3">
      <c r="A366" t="s">
        <v>731</v>
      </c>
      <c r="B366">
        <v>21710</v>
      </c>
      <c r="C366" t="s">
        <v>732</v>
      </c>
      <c r="D366" s="19">
        <v>4910</v>
      </c>
      <c r="E366" s="20">
        <v>351</v>
      </c>
      <c r="F366" s="19">
        <v>346</v>
      </c>
      <c r="G366" s="23">
        <v>249</v>
      </c>
      <c r="H366" s="24">
        <v>103</v>
      </c>
      <c r="I366" s="23">
        <v>146</v>
      </c>
      <c r="J366" s="24">
        <v>103</v>
      </c>
      <c r="K366" s="23">
        <v>146</v>
      </c>
      <c r="L366" s="24">
        <v>0</v>
      </c>
      <c r="M366" s="23">
        <v>24</v>
      </c>
      <c r="N366" s="24">
        <v>146</v>
      </c>
      <c r="O366" s="23">
        <v>114</v>
      </c>
      <c r="P366" s="24">
        <v>133</v>
      </c>
      <c r="Q366" s="23">
        <v>113</v>
      </c>
      <c r="R366" s="24">
        <v>13</v>
      </c>
      <c r="S366" s="23">
        <v>29</v>
      </c>
      <c r="T366" s="24">
        <v>97</v>
      </c>
      <c r="U366" s="23">
        <v>87</v>
      </c>
      <c r="V366" s="24">
        <v>97</v>
      </c>
      <c r="W366" s="23">
        <v>87</v>
      </c>
      <c r="X366" s="24">
        <v>0</v>
      </c>
      <c r="Y366" s="20">
        <v>24</v>
      </c>
      <c r="Z366" s="19">
        <v>223</v>
      </c>
      <c r="AA366" s="23">
        <v>189</v>
      </c>
      <c r="AB366" s="24">
        <v>60</v>
      </c>
      <c r="AC366" s="23">
        <v>66</v>
      </c>
      <c r="AD366" s="24">
        <v>48</v>
      </c>
      <c r="AE366" s="23">
        <v>56</v>
      </c>
      <c r="AF366" s="24">
        <v>12</v>
      </c>
      <c r="AG366" s="23">
        <v>18</v>
      </c>
      <c r="AH366" s="24">
        <v>74</v>
      </c>
      <c r="AI366" s="23">
        <v>82</v>
      </c>
      <c r="AJ366" s="24">
        <v>44</v>
      </c>
      <c r="AK366" s="23">
        <v>60</v>
      </c>
      <c r="AL366" s="24">
        <v>30</v>
      </c>
      <c r="AM366" s="23">
        <v>34</v>
      </c>
      <c r="AN366" s="24">
        <v>89</v>
      </c>
      <c r="AO366" s="23">
        <v>67</v>
      </c>
      <c r="AP366" s="24">
        <v>89</v>
      </c>
      <c r="AQ366" s="23">
        <v>67</v>
      </c>
      <c r="AR366" s="24">
        <v>0</v>
      </c>
      <c r="AS366" s="20">
        <v>12</v>
      </c>
      <c r="AT366" s="19">
        <v>892</v>
      </c>
      <c r="AU366" s="23">
        <v>254</v>
      </c>
      <c r="AV366" s="24">
        <v>272</v>
      </c>
      <c r="AW366" s="23">
        <v>106</v>
      </c>
      <c r="AX366" s="24">
        <v>206</v>
      </c>
      <c r="AY366" s="23">
        <v>101</v>
      </c>
      <c r="AZ366" s="24">
        <v>66</v>
      </c>
      <c r="BA366" s="23">
        <v>65</v>
      </c>
      <c r="BB366" s="24">
        <v>454</v>
      </c>
      <c r="BC366" s="23">
        <v>155</v>
      </c>
      <c r="BD366" s="24">
        <v>359</v>
      </c>
      <c r="BE366" s="23">
        <v>137</v>
      </c>
      <c r="BF366" s="24">
        <v>95</v>
      </c>
      <c r="BG366" s="23">
        <v>74</v>
      </c>
      <c r="BH366" s="24">
        <v>166</v>
      </c>
      <c r="BI366" s="23">
        <v>72</v>
      </c>
      <c r="BJ366" s="24">
        <v>157</v>
      </c>
      <c r="BK366" s="23">
        <v>72</v>
      </c>
      <c r="BL366" s="24">
        <v>9</v>
      </c>
      <c r="BM366" s="20">
        <v>16</v>
      </c>
      <c r="BN366" s="19">
        <v>3449</v>
      </c>
      <c r="BO366" s="23">
        <v>378</v>
      </c>
      <c r="BP366" s="24">
        <v>778</v>
      </c>
      <c r="BQ366" s="23">
        <v>198</v>
      </c>
      <c r="BR366" s="24">
        <v>771</v>
      </c>
      <c r="BS366" s="23">
        <v>197</v>
      </c>
      <c r="BT366" s="26">
        <v>7</v>
      </c>
      <c r="BU366" s="23">
        <v>13</v>
      </c>
      <c r="BV366" s="24">
        <v>2193</v>
      </c>
      <c r="BW366" s="23">
        <v>261</v>
      </c>
      <c r="BX366" s="24">
        <v>2185</v>
      </c>
      <c r="BY366" s="23">
        <v>259</v>
      </c>
      <c r="BZ366" s="24">
        <v>8</v>
      </c>
      <c r="CA366" s="23">
        <v>12</v>
      </c>
      <c r="CB366" s="24">
        <v>478</v>
      </c>
      <c r="CC366" s="23">
        <v>107</v>
      </c>
      <c r="CD366" s="24">
        <v>478</v>
      </c>
      <c r="CE366" s="23">
        <v>107</v>
      </c>
      <c r="CF366" s="24">
        <v>0</v>
      </c>
      <c r="CG366" s="20">
        <v>12</v>
      </c>
    </row>
    <row r="367" spans="1:85" x14ac:dyDescent="0.3">
      <c r="A367" t="s">
        <v>733</v>
      </c>
      <c r="B367">
        <v>21711</v>
      </c>
      <c r="C367" t="s">
        <v>734</v>
      </c>
      <c r="D367" s="19">
        <v>1093</v>
      </c>
      <c r="E367" s="20">
        <v>244</v>
      </c>
      <c r="F367" s="19">
        <v>175</v>
      </c>
      <c r="G367" s="23">
        <v>223</v>
      </c>
      <c r="H367" s="24">
        <v>24</v>
      </c>
      <c r="I367" s="23">
        <v>48</v>
      </c>
      <c r="J367" s="24">
        <v>24</v>
      </c>
      <c r="K367" s="23">
        <v>48</v>
      </c>
      <c r="L367" s="24">
        <v>0</v>
      </c>
      <c r="M367" s="23">
        <v>24</v>
      </c>
      <c r="N367" s="24">
        <v>135</v>
      </c>
      <c r="O367" s="23">
        <v>195</v>
      </c>
      <c r="P367" s="24">
        <v>135</v>
      </c>
      <c r="Q367" s="23">
        <v>195</v>
      </c>
      <c r="R367" s="24">
        <v>0</v>
      </c>
      <c r="S367" s="23">
        <v>24</v>
      </c>
      <c r="T367" s="24">
        <v>16</v>
      </c>
      <c r="U367" s="23">
        <v>35</v>
      </c>
      <c r="V367" s="24">
        <v>16</v>
      </c>
      <c r="W367" s="23">
        <v>35</v>
      </c>
      <c r="X367" s="24">
        <v>0</v>
      </c>
      <c r="Y367" s="20">
        <v>24</v>
      </c>
      <c r="Z367" s="19">
        <v>98</v>
      </c>
      <c r="AA367" s="23">
        <v>116</v>
      </c>
      <c r="AB367" s="24">
        <v>47</v>
      </c>
      <c r="AC367" s="23">
        <v>71</v>
      </c>
      <c r="AD367" s="24">
        <v>47</v>
      </c>
      <c r="AE367" s="23">
        <v>71</v>
      </c>
      <c r="AF367" s="24">
        <v>0</v>
      </c>
      <c r="AG367" s="23">
        <v>12</v>
      </c>
      <c r="AH367" s="24">
        <v>28</v>
      </c>
      <c r="AI367" s="23">
        <v>44</v>
      </c>
      <c r="AJ367" s="24">
        <v>28</v>
      </c>
      <c r="AK367" s="23">
        <v>44</v>
      </c>
      <c r="AL367" s="24">
        <v>0</v>
      </c>
      <c r="AM367" s="23">
        <v>12</v>
      </c>
      <c r="AN367" s="24">
        <v>23</v>
      </c>
      <c r="AO367" s="23">
        <v>18</v>
      </c>
      <c r="AP367" s="24">
        <v>23</v>
      </c>
      <c r="AQ367" s="23">
        <v>18</v>
      </c>
      <c r="AR367" s="24">
        <v>0</v>
      </c>
      <c r="AS367" s="20">
        <v>12</v>
      </c>
      <c r="AT367" s="19">
        <v>520</v>
      </c>
      <c r="AU367" s="23">
        <v>237</v>
      </c>
      <c r="AV367" s="24">
        <v>113</v>
      </c>
      <c r="AW367" s="23">
        <v>75</v>
      </c>
      <c r="AX367" s="24">
        <v>113</v>
      </c>
      <c r="AY367" s="23">
        <v>75</v>
      </c>
      <c r="AZ367" s="24">
        <v>0</v>
      </c>
      <c r="BA367" s="23">
        <v>12</v>
      </c>
      <c r="BB367" s="24">
        <v>241</v>
      </c>
      <c r="BC367" s="23">
        <v>130</v>
      </c>
      <c r="BD367" s="24">
        <v>216</v>
      </c>
      <c r="BE367" s="23">
        <v>111</v>
      </c>
      <c r="BF367" s="24">
        <v>25</v>
      </c>
      <c r="BG367" s="23">
        <v>29</v>
      </c>
      <c r="BH367" s="24">
        <v>166</v>
      </c>
      <c r="BI367" s="23">
        <v>98</v>
      </c>
      <c r="BJ367" s="24">
        <v>166</v>
      </c>
      <c r="BK367" s="23">
        <v>98</v>
      </c>
      <c r="BL367" s="24">
        <v>0</v>
      </c>
      <c r="BM367" s="20">
        <v>12</v>
      </c>
      <c r="BN367" s="19">
        <v>300</v>
      </c>
      <c r="BO367" s="23">
        <v>139</v>
      </c>
      <c r="BP367" s="24">
        <v>35</v>
      </c>
      <c r="BQ367" s="23">
        <v>44</v>
      </c>
      <c r="BR367" s="24">
        <v>35</v>
      </c>
      <c r="BS367" s="23">
        <v>44</v>
      </c>
      <c r="BT367" s="26">
        <v>0</v>
      </c>
      <c r="BU367" s="23">
        <v>12</v>
      </c>
      <c r="BV367" s="24">
        <v>213</v>
      </c>
      <c r="BW367" s="23">
        <v>103</v>
      </c>
      <c r="BX367" s="24">
        <v>185</v>
      </c>
      <c r="BY367" s="23">
        <v>86</v>
      </c>
      <c r="BZ367" s="24">
        <v>28</v>
      </c>
      <c r="CA367" s="23">
        <v>41</v>
      </c>
      <c r="CB367" s="24">
        <v>52</v>
      </c>
      <c r="CC367" s="23">
        <v>44</v>
      </c>
      <c r="CD367" s="24">
        <v>52</v>
      </c>
      <c r="CE367" s="23">
        <v>44</v>
      </c>
      <c r="CF367" s="24">
        <v>0</v>
      </c>
      <c r="CG367" s="20">
        <v>12</v>
      </c>
    </row>
    <row r="368" spans="1:85" x14ac:dyDescent="0.3">
      <c r="A368" t="s">
        <v>735</v>
      </c>
      <c r="B368">
        <v>21713</v>
      </c>
      <c r="C368" t="s">
        <v>736</v>
      </c>
      <c r="D368" s="19">
        <v>9871</v>
      </c>
      <c r="E368" s="20">
        <v>749</v>
      </c>
      <c r="F368" s="19">
        <v>909</v>
      </c>
      <c r="G368" s="23">
        <v>426</v>
      </c>
      <c r="H368" s="24">
        <v>345</v>
      </c>
      <c r="I368" s="23">
        <v>219</v>
      </c>
      <c r="J368" s="24">
        <v>345</v>
      </c>
      <c r="K368" s="23">
        <v>219</v>
      </c>
      <c r="L368" s="24">
        <v>0</v>
      </c>
      <c r="M368" s="23">
        <v>38</v>
      </c>
      <c r="N368" s="24">
        <v>425</v>
      </c>
      <c r="O368" s="23">
        <v>219</v>
      </c>
      <c r="P368" s="24">
        <v>385</v>
      </c>
      <c r="Q368" s="23">
        <v>209</v>
      </c>
      <c r="R368" s="24">
        <v>40</v>
      </c>
      <c r="S368" s="23">
        <v>69</v>
      </c>
      <c r="T368" s="24">
        <v>139</v>
      </c>
      <c r="U368" s="23">
        <v>114</v>
      </c>
      <c r="V368" s="24">
        <v>139</v>
      </c>
      <c r="W368" s="23">
        <v>114</v>
      </c>
      <c r="X368" s="24">
        <v>0</v>
      </c>
      <c r="Y368" s="20">
        <v>38</v>
      </c>
      <c r="Z368" s="19">
        <v>1356</v>
      </c>
      <c r="AA368" s="23">
        <v>568</v>
      </c>
      <c r="AB368" s="24">
        <v>529</v>
      </c>
      <c r="AC368" s="23">
        <v>271</v>
      </c>
      <c r="AD368" s="24">
        <v>529</v>
      </c>
      <c r="AE368" s="23">
        <v>271</v>
      </c>
      <c r="AF368" s="24">
        <v>0</v>
      </c>
      <c r="AG368" s="23">
        <v>19</v>
      </c>
      <c r="AH368" s="24">
        <v>659</v>
      </c>
      <c r="AI368" s="23">
        <v>361</v>
      </c>
      <c r="AJ368" s="24">
        <v>423</v>
      </c>
      <c r="AK368" s="23">
        <v>225</v>
      </c>
      <c r="AL368" s="24">
        <v>236</v>
      </c>
      <c r="AM368" s="23">
        <v>220</v>
      </c>
      <c r="AN368" s="24">
        <v>168</v>
      </c>
      <c r="AO368" s="23">
        <v>109</v>
      </c>
      <c r="AP368" s="24">
        <v>168</v>
      </c>
      <c r="AQ368" s="23">
        <v>109</v>
      </c>
      <c r="AR368" s="24">
        <v>0</v>
      </c>
      <c r="AS368" s="20">
        <v>19</v>
      </c>
      <c r="AT368" s="19">
        <v>2856</v>
      </c>
      <c r="AU368" s="23">
        <v>560</v>
      </c>
      <c r="AV368" s="24">
        <v>438</v>
      </c>
      <c r="AW368" s="23">
        <v>213</v>
      </c>
      <c r="AX368" s="24">
        <v>438</v>
      </c>
      <c r="AY368" s="23">
        <v>213</v>
      </c>
      <c r="AZ368" s="24">
        <v>0</v>
      </c>
      <c r="BA368" s="23">
        <v>19</v>
      </c>
      <c r="BB368" s="24">
        <v>1758</v>
      </c>
      <c r="BC368" s="23">
        <v>381</v>
      </c>
      <c r="BD368" s="24">
        <v>1601</v>
      </c>
      <c r="BE368" s="23">
        <v>344</v>
      </c>
      <c r="BF368" s="24">
        <v>157</v>
      </c>
      <c r="BG368" s="23">
        <v>100</v>
      </c>
      <c r="BH368" s="24">
        <v>660</v>
      </c>
      <c r="BI368" s="23">
        <v>194</v>
      </c>
      <c r="BJ368" s="24">
        <v>660</v>
      </c>
      <c r="BK368" s="23">
        <v>194</v>
      </c>
      <c r="BL368" s="24">
        <v>0</v>
      </c>
      <c r="BM368" s="20">
        <v>19</v>
      </c>
      <c r="BN368" s="19">
        <v>4750</v>
      </c>
      <c r="BO368" s="23">
        <v>677</v>
      </c>
      <c r="BP368" s="24">
        <v>1027</v>
      </c>
      <c r="BQ368" s="23">
        <v>289</v>
      </c>
      <c r="BR368" s="24">
        <v>1027</v>
      </c>
      <c r="BS368" s="23">
        <v>289</v>
      </c>
      <c r="BT368" s="26">
        <v>0</v>
      </c>
      <c r="BU368" s="23">
        <v>19</v>
      </c>
      <c r="BV368" s="24">
        <v>3103</v>
      </c>
      <c r="BW368" s="23">
        <v>445</v>
      </c>
      <c r="BX368" s="24">
        <v>3064</v>
      </c>
      <c r="BY368" s="23">
        <v>441</v>
      </c>
      <c r="BZ368" s="24">
        <v>39</v>
      </c>
      <c r="CA368" s="23">
        <v>35</v>
      </c>
      <c r="CB368" s="24">
        <v>620</v>
      </c>
      <c r="CC368" s="23">
        <v>180</v>
      </c>
      <c r="CD368" s="24">
        <v>620</v>
      </c>
      <c r="CE368" s="23">
        <v>180</v>
      </c>
      <c r="CF368" s="24">
        <v>0</v>
      </c>
      <c r="CG368" s="20">
        <v>19</v>
      </c>
    </row>
    <row r="369" spans="1:85" x14ac:dyDescent="0.3">
      <c r="A369" t="s">
        <v>737</v>
      </c>
      <c r="B369">
        <v>21714</v>
      </c>
      <c r="C369" t="s">
        <v>738</v>
      </c>
      <c r="D369" s="19">
        <v>196</v>
      </c>
      <c r="E369" s="20">
        <v>195</v>
      </c>
      <c r="F369" s="19">
        <v>0</v>
      </c>
      <c r="G369" s="23">
        <v>24</v>
      </c>
      <c r="H369" s="24">
        <v>0</v>
      </c>
      <c r="I369" s="23">
        <v>24</v>
      </c>
      <c r="J369" s="24">
        <v>0</v>
      </c>
      <c r="K369" s="23">
        <v>24</v>
      </c>
      <c r="L369" s="24">
        <v>0</v>
      </c>
      <c r="M369" s="23">
        <v>24</v>
      </c>
      <c r="N369" s="24">
        <v>0</v>
      </c>
      <c r="O369" s="23">
        <v>24</v>
      </c>
      <c r="P369" s="24">
        <v>0</v>
      </c>
      <c r="Q369" s="23">
        <v>24</v>
      </c>
      <c r="R369" s="24">
        <v>0</v>
      </c>
      <c r="S369" s="23">
        <v>24</v>
      </c>
      <c r="T369" s="24">
        <v>0</v>
      </c>
      <c r="U369" s="23">
        <v>24</v>
      </c>
      <c r="V369" s="24">
        <v>0</v>
      </c>
      <c r="W369" s="23">
        <v>24</v>
      </c>
      <c r="X369" s="24">
        <v>0</v>
      </c>
      <c r="Y369" s="20">
        <v>24</v>
      </c>
      <c r="Z369" s="19">
        <v>0</v>
      </c>
      <c r="AA369" s="23">
        <v>12</v>
      </c>
      <c r="AB369" s="24">
        <v>0</v>
      </c>
      <c r="AC369" s="23">
        <v>12</v>
      </c>
      <c r="AD369" s="24">
        <v>0</v>
      </c>
      <c r="AE369" s="23">
        <v>12</v>
      </c>
      <c r="AF369" s="24">
        <v>0</v>
      </c>
      <c r="AG369" s="23">
        <v>12</v>
      </c>
      <c r="AH369" s="24">
        <v>0</v>
      </c>
      <c r="AI369" s="23">
        <v>12</v>
      </c>
      <c r="AJ369" s="24">
        <v>0</v>
      </c>
      <c r="AK369" s="23">
        <v>12</v>
      </c>
      <c r="AL369" s="24">
        <v>0</v>
      </c>
      <c r="AM369" s="23">
        <v>12</v>
      </c>
      <c r="AN369" s="24">
        <v>0</v>
      </c>
      <c r="AO369" s="23">
        <v>12</v>
      </c>
      <c r="AP369" s="24">
        <v>0</v>
      </c>
      <c r="AQ369" s="23">
        <v>12</v>
      </c>
      <c r="AR369" s="24">
        <v>0</v>
      </c>
      <c r="AS369" s="20">
        <v>12</v>
      </c>
      <c r="AT369" s="19">
        <v>152</v>
      </c>
      <c r="AU369" s="23">
        <v>190</v>
      </c>
      <c r="AV369" s="24">
        <v>56</v>
      </c>
      <c r="AW369" s="23">
        <v>88</v>
      </c>
      <c r="AX369" s="24">
        <v>56</v>
      </c>
      <c r="AY369" s="23">
        <v>88</v>
      </c>
      <c r="AZ369" s="24">
        <v>0</v>
      </c>
      <c r="BA369" s="23">
        <v>12</v>
      </c>
      <c r="BB369" s="24">
        <v>57</v>
      </c>
      <c r="BC369" s="23">
        <v>90</v>
      </c>
      <c r="BD369" s="24">
        <v>57</v>
      </c>
      <c r="BE369" s="23">
        <v>90</v>
      </c>
      <c r="BF369" s="24">
        <v>0</v>
      </c>
      <c r="BG369" s="23">
        <v>12</v>
      </c>
      <c r="BH369" s="24">
        <v>39</v>
      </c>
      <c r="BI369" s="23">
        <v>63</v>
      </c>
      <c r="BJ369" s="24">
        <v>39</v>
      </c>
      <c r="BK369" s="23">
        <v>63</v>
      </c>
      <c r="BL369" s="24">
        <v>0</v>
      </c>
      <c r="BM369" s="20">
        <v>12</v>
      </c>
      <c r="BN369" s="19">
        <v>44</v>
      </c>
      <c r="BO369" s="23">
        <v>58</v>
      </c>
      <c r="BP369" s="24">
        <v>14</v>
      </c>
      <c r="BQ369" s="23">
        <v>23</v>
      </c>
      <c r="BR369" s="24">
        <v>14</v>
      </c>
      <c r="BS369" s="23">
        <v>23</v>
      </c>
      <c r="BT369" s="26">
        <v>0</v>
      </c>
      <c r="BU369" s="23">
        <v>12</v>
      </c>
      <c r="BV369" s="24">
        <v>30</v>
      </c>
      <c r="BW369" s="23">
        <v>36</v>
      </c>
      <c r="BX369" s="24">
        <v>30</v>
      </c>
      <c r="BY369" s="23">
        <v>36</v>
      </c>
      <c r="BZ369" s="24">
        <v>0</v>
      </c>
      <c r="CA369" s="23">
        <v>12</v>
      </c>
      <c r="CB369" s="24">
        <v>0</v>
      </c>
      <c r="CC369" s="23">
        <v>12</v>
      </c>
      <c r="CD369" s="24">
        <v>0</v>
      </c>
      <c r="CE369" s="23">
        <v>12</v>
      </c>
      <c r="CF369" s="24">
        <v>0</v>
      </c>
      <c r="CG369" s="20">
        <v>12</v>
      </c>
    </row>
    <row r="370" spans="1:85" x14ac:dyDescent="0.3">
      <c r="A370" t="s">
        <v>739</v>
      </c>
      <c r="B370">
        <v>21716</v>
      </c>
      <c r="C370" t="s">
        <v>740</v>
      </c>
      <c r="D370" s="19">
        <v>5056</v>
      </c>
      <c r="E370" s="20">
        <v>186</v>
      </c>
      <c r="F370" s="19">
        <v>761</v>
      </c>
      <c r="G370" s="23">
        <v>343</v>
      </c>
      <c r="H370" s="24">
        <v>179</v>
      </c>
      <c r="I370" s="23">
        <v>167</v>
      </c>
      <c r="J370" s="24">
        <v>179</v>
      </c>
      <c r="K370" s="23">
        <v>167</v>
      </c>
      <c r="L370" s="24">
        <v>0</v>
      </c>
      <c r="M370" s="23">
        <v>34</v>
      </c>
      <c r="N370" s="24">
        <v>487</v>
      </c>
      <c r="O370" s="23">
        <v>203</v>
      </c>
      <c r="P370" s="24">
        <v>461</v>
      </c>
      <c r="Q370" s="23">
        <v>200</v>
      </c>
      <c r="R370" s="24">
        <v>26</v>
      </c>
      <c r="S370" s="23">
        <v>41</v>
      </c>
      <c r="T370" s="24">
        <v>95</v>
      </c>
      <c r="U370" s="23">
        <v>64</v>
      </c>
      <c r="V370" s="24">
        <v>95</v>
      </c>
      <c r="W370" s="23">
        <v>64</v>
      </c>
      <c r="X370" s="24">
        <v>0</v>
      </c>
      <c r="Y370" s="20">
        <v>34</v>
      </c>
      <c r="Z370" s="19">
        <v>437</v>
      </c>
      <c r="AA370" s="23">
        <v>301</v>
      </c>
      <c r="AB370" s="24">
        <v>227</v>
      </c>
      <c r="AC370" s="23">
        <v>185</v>
      </c>
      <c r="AD370" s="24">
        <v>227</v>
      </c>
      <c r="AE370" s="23">
        <v>185</v>
      </c>
      <c r="AF370" s="24">
        <v>0</v>
      </c>
      <c r="AG370" s="23">
        <v>17</v>
      </c>
      <c r="AH370" s="24">
        <v>176</v>
      </c>
      <c r="AI370" s="23">
        <v>120</v>
      </c>
      <c r="AJ370" s="24">
        <v>176</v>
      </c>
      <c r="AK370" s="23">
        <v>120</v>
      </c>
      <c r="AL370" s="24">
        <v>0</v>
      </c>
      <c r="AM370" s="23">
        <v>17</v>
      </c>
      <c r="AN370" s="24">
        <v>34</v>
      </c>
      <c r="AO370" s="23">
        <v>31</v>
      </c>
      <c r="AP370" s="24">
        <v>34</v>
      </c>
      <c r="AQ370" s="23">
        <v>31</v>
      </c>
      <c r="AR370" s="24">
        <v>0</v>
      </c>
      <c r="AS370" s="20">
        <v>17</v>
      </c>
      <c r="AT370" s="19">
        <v>1181</v>
      </c>
      <c r="AU370" s="23">
        <v>310</v>
      </c>
      <c r="AV370" s="24">
        <v>301</v>
      </c>
      <c r="AW370" s="23">
        <v>113</v>
      </c>
      <c r="AX370" s="24">
        <v>292</v>
      </c>
      <c r="AY370" s="23">
        <v>111</v>
      </c>
      <c r="AZ370" s="24">
        <v>9</v>
      </c>
      <c r="BA370" s="23">
        <v>14</v>
      </c>
      <c r="BB370" s="24">
        <v>750</v>
      </c>
      <c r="BC370" s="23">
        <v>213</v>
      </c>
      <c r="BD370" s="24">
        <v>711</v>
      </c>
      <c r="BE370" s="23">
        <v>192</v>
      </c>
      <c r="BF370" s="24">
        <v>39</v>
      </c>
      <c r="BG370" s="23">
        <v>48</v>
      </c>
      <c r="BH370" s="24">
        <v>130</v>
      </c>
      <c r="BI370" s="23">
        <v>60</v>
      </c>
      <c r="BJ370" s="24">
        <v>130</v>
      </c>
      <c r="BK370" s="23">
        <v>60</v>
      </c>
      <c r="BL370" s="24">
        <v>0</v>
      </c>
      <c r="BM370" s="20">
        <v>17</v>
      </c>
      <c r="BN370" s="19">
        <v>2677</v>
      </c>
      <c r="BO370" s="23">
        <v>344</v>
      </c>
      <c r="BP370" s="24">
        <v>517</v>
      </c>
      <c r="BQ370" s="23">
        <v>138</v>
      </c>
      <c r="BR370" s="24">
        <v>517</v>
      </c>
      <c r="BS370" s="23">
        <v>138</v>
      </c>
      <c r="BT370" s="26">
        <v>0</v>
      </c>
      <c r="BU370" s="23">
        <v>17</v>
      </c>
      <c r="BV370" s="24">
        <v>1874</v>
      </c>
      <c r="BW370" s="23">
        <v>255</v>
      </c>
      <c r="BX370" s="24">
        <v>1848</v>
      </c>
      <c r="BY370" s="23">
        <v>251</v>
      </c>
      <c r="BZ370" s="24">
        <v>26</v>
      </c>
      <c r="CA370" s="23">
        <v>40</v>
      </c>
      <c r="CB370" s="24">
        <v>286</v>
      </c>
      <c r="CC370" s="23">
        <v>95</v>
      </c>
      <c r="CD370" s="24">
        <v>286</v>
      </c>
      <c r="CE370" s="23">
        <v>95</v>
      </c>
      <c r="CF370" s="24">
        <v>0</v>
      </c>
      <c r="CG370" s="20">
        <v>17</v>
      </c>
    </row>
    <row r="371" spans="1:85" x14ac:dyDescent="0.3">
      <c r="A371" t="s">
        <v>741</v>
      </c>
      <c r="B371">
        <v>21717</v>
      </c>
      <c r="C371" t="s">
        <v>742</v>
      </c>
      <c r="D371" s="19">
        <v>70</v>
      </c>
      <c r="E371" s="20">
        <v>55</v>
      </c>
      <c r="F371" s="19">
        <v>0</v>
      </c>
      <c r="G371" s="23">
        <v>24</v>
      </c>
      <c r="H371" s="24">
        <v>0</v>
      </c>
      <c r="I371" s="23">
        <v>24</v>
      </c>
      <c r="J371" s="24">
        <v>0</v>
      </c>
      <c r="K371" s="23">
        <v>24</v>
      </c>
      <c r="L371" s="24">
        <v>0</v>
      </c>
      <c r="M371" s="23">
        <v>24</v>
      </c>
      <c r="N371" s="24">
        <v>0</v>
      </c>
      <c r="O371" s="23">
        <v>24</v>
      </c>
      <c r="P371" s="24">
        <v>0</v>
      </c>
      <c r="Q371" s="23">
        <v>24</v>
      </c>
      <c r="R371" s="24">
        <v>0</v>
      </c>
      <c r="S371" s="23">
        <v>24</v>
      </c>
      <c r="T371" s="24">
        <v>0</v>
      </c>
      <c r="U371" s="23">
        <v>24</v>
      </c>
      <c r="V371" s="24">
        <v>0</v>
      </c>
      <c r="W371" s="23">
        <v>24</v>
      </c>
      <c r="X371" s="24">
        <v>0</v>
      </c>
      <c r="Y371" s="20">
        <v>24</v>
      </c>
      <c r="Z371" s="19">
        <v>0</v>
      </c>
      <c r="AA371" s="23">
        <v>12</v>
      </c>
      <c r="AB371" s="24">
        <v>0</v>
      </c>
      <c r="AC371" s="23">
        <v>12</v>
      </c>
      <c r="AD371" s="24">
        <v>0</v>
      </c>
      <c r="AE371" s="23">
        <v>12</v>
      </c>
      <c r="AF371" s="24">
        <v>0</v>
      </c>
      <c r="AG371" s="23">
        <v>12</v>
      </c>
      <c r="AH371" s="24">
        <v>0</v>
      </c>
      <c r="AI371" s="23">
        <v>12</v>
      </c>
      <c r="AJ371" s="24">
        <v>0</v>
      </c>
      <c r="AK371" s="23">
        <v>12</v>
      </c>
      <c r="AL371" s="24">
        <v>0</v>
      </c>
      <c r="AM371" s="23">
        <v>12</v>
      </c>
      <c r="AN371" s="24">
        <v>0</v>
      </c>
      <c r="AO371" s="23">
        <v>12</v>
      </c>
      <c r="AP371" s="24">
        <v>0</v>
      </c>
      <c r="AQ371" s="23">
        <v>12</v>
      </c>
      <c r="AR371" s="24">
        <v>0</v>
      </c>
      <c r="AS371" s="20">
        <v>12</v>
      </c>
      <c r="AT371" s="19">
        <v>39</v>
      </c>
      <c r="AU371" s="23">
        <v>60</v>
      </c>
      <c r="AV371" s="24">
        <v>0</v>
      </c>
      <c r="AW371" s="23">
        <v>12</v>
      </c>
      <c r="AX371" s="24">
        <v>0</v>
      </c>
      <c r="AY371" s="23">
        <v>12</v>
      </c>
      <c r="AZ371" s="24">
        <v>0</v>
      </c>
      <c r="BA371" s="23">
        <v>12</v>
      </c>
      <c r="BB371" s="24">
        <v>39</v>
      </c>
      <c r="BC371" s="23">
        <v>60</v>
      </c>
      <c r="BD371" s="24">
        <v>39</v>
      </c>
      <c r="BE371" s="23">
        <v>60</v>
      </c>
      <c r="BF371" s="24">
        <v>0</v>
      </c>
      <c r="BG371" s="23">
        <v>12</v>
      </c>
      <c r="BH371" s="24">
        <v>0</v>
      </c>
      <c r="BI371" s="23">
        <v>12</v>
      </c>
      <c r="BJ371" s="24">
        <v>0</v>
      </c>
      <c r="BK371" s="23">
        <v>12</v>
      </c>
      <c r="BL371" s="24">
        <v>0</v>
      </c>
      <c r="BM371" s="20">
        <v>12</v>
      </c>
      <c r="BN371" s="19">
        <v>31</v>
      </c>
      <c r="BO371" s="23">
        <v>49</v>
      </c>
      <c r="BP371" s="24">
        <v>0</v>
      </c>
      <c r="BQ371" s="23">
        <v>12</v>
      </c>
      <c r="BR371" s="24">
        <v>0</v>
      </c>
      <c r="BS371" s="23">
        <v>12</v>
      </c>
      <c r="BT371" s="26">
        <v>0</v>
      </c>
      <c r="BU371" s="23">
        <v>12</v>
      </c>
      <c r="BV371" s="24">
        <v>21</v>
      </c>
      <c r="BW371" s="23">
        <v>33</v>
      </c>
      <c r="BX371" s="24">
        <v>21</v>
      </c>
      <c r="BY371" s="23">
        <v>33</v>
      </c>
      <c r="BZ371" s="24">
        <v>0</v>
      </c>
      <c r="CA371" s="23">
        <v>12</v>
      </c>
      <c r="CB371" s="24">
        <v>10</v>
      </c>
      <c r="CC371" s="23">
        <v>16</v>
      </c>
      <c r="CD371" s="24">
        <v>10</v>
      </c>
      <c r="CE371" s="23">
        <v>16</v>
      </c>
      <c r="CF371" s="24">
        <v>0</v>
      </c>
      <c r="CG371" s="20">
        <v>12</v>
      </c>
    </row>
    <row r="372" spans="1:85" x14ac:dyDescent="0.3">
      <c r="A372" t="s">
        <v>743</v>
      </c>
      <c r="B372">
        <v>21718</v>
      </c>
      <c r="C372" t="s">
        <v>744</v>
      </c>
      <c r="D372" s="19">
        <v>153</v>
      </c>
      <c r="E372" s="20">
        <v>49</v>
      </c>
      <c r="F372" s="19">
        <v>11</v>
      </c>
      <c r="G372" s="23">
        <v>23</v>
      </c>
      <c r="H372" s="24">
        <v>0</v>
      </c>
      <c r="I372" s="23">
        <v>24</v>
      </c>
      <c r="J372" s="24">
        <v>0</v>
      </c>
      <c r="K372" s="23">
        <v>24</v>
      </c>
      <c r="L372" s="24">
        <v>0</v>
      </c>
      <c r="M372" s="23">
        <v>24</v>
      </c>
      <c r="N372" s="24">
        <v>3</v>
      </c>
      <c r="O372" s="23">
        <v>16</v>
      </c>
      <c r="P372" s="24">
        <v>3</v>
      </c>
      <c r="Q372" s="23">
        <v>16</v>
      </c>
      <c r="R372" s="24">
        <v>0</v>
      </c>
      <c r="S372" s="23">
        <v>24</v>
      </c>
      <c r="T372" s="24">
        <v>8</v>
      </c>
      <c r="U372" s="23">
        <v>21</v>
      </c>
      <c r="V372" s="24">
        <v>8</v>
      </c>
      <c r="W372" s="23">
        <v>21</v>
      </c>
      <c r="X372" s="24">
        <v>0</v>
      </c>
      <c r="Y372" s="20">
        <v>24</v>
      </c>
      <c r="Z372" s="19">
        <v>10</v>
      </c>
      <c r="AA372" s="23">
        <v>10</v>
      </c>
      <c r="AB372" s="24">
        <v>2</v>
      </c>
      <c r="AC372" s="23">
        <v>3</v>
      </c>
      <c r="AD372" s="24">
        <v>2</v>
      </c>
      <c r="AE372" s="23">
        <v>3</v>
      </c>
      <c r="AF372" s="24">
        <v>0</v>
      </c>
      <c r="AG372" s="23">
        <v>12</v>
      </c>
      <c r="AH372" s="24">
        <v>8</v>
      </c>
      <c r="AI372" s="23">
        <v>9</v>
      </c>
      <c r="AJ372" s="24">
        <v>8</v>
      </c>
      <c r="AK372" s="23">
        <v>9</v>
      </c>
      <c r="AL372" s="24">
        <v>0</v>
      </c>
      <c r="AM372" s="23">
        <v>12</v>
      </c>
      <c r="AN372" s="24">
        <v>0</v>
      </c>
      <c r="AO372" s="23">
        <v>12</v>
      </c>
      <c r="AP372" s="24">
        <v>0</v>
      </c>
      <c r="AQ372" s="23">
        <v>12</v>
      </c>
      <c r="AR372" s="24">
        <v>0</v>
      </c>
      <c r="AS372" s="20">
        <v>12</v>
      </c>
      <c r="AT372" s="19">
        <v>33</v>
      </c>
      <c r="AU372" s="23">
        <v>24</v>
      </c>
      <c r="AV372" s="24">
        <v>9</v>
      </c>
      <c r="AW372" s="23">
        <v>9</v>
      </c>
      <c r="AX372" s="24">
        <v>9</v>
      </c>
      <c r="AY372" s="23">
        <v>9</v>
      </c>
      <c r="AZ372" s="24">
        <v>0</v>
      </c>
      <c r="BA372" s="23">
        <v>12</v>
      </c>
      <c r="BB372" s="24">
        <v>18</v>
      </c>
      <c r="BC372" s="23">
        <v>17</v>
      </c>
      <c r="BD372" s="24">
        <v>18</v>
      </c>
      <c r="BE372" s="23">
        <v>17</v>
      </c>
      <c r="BF372" s="24">
        <v>0</v>
      </c>
      <c r="BG372" s="23">
        <v>12</v>
      </c>
      <c r="BH372" s="24">
        <v>6</v>
      </c>
      <c r="BI372" s="23">
        <v>7</v>
      </c>
      <c r="BJ372" s="24">
        <v>6</v>
      </c>
      <c r="BK372" s="23">
        <v>7</v>
      </c>
      <c r="BL372" s="24">
        <v>0</v>
      </c>
      <c r="BM372" s="20">
        <v>12</v>
      </c>
      <c r="BN372" s="19">
        <v>99</v>
      </c>
      <c r="BO372" s="23">
        <v>40</v>
      </c>
      <c r="BP372" s="24">
        <v>15</v>
      </c>
      <c r="BQ372" s="23">
        <v>15</v>
      </c>
      <c r="BR372" s="24">
        <v>15</v>
      </c>
      <c r="BS372" s="23">
        <v>15</v>
      </c>
      <c r="BT372" s="26">
        <v>0</v>
      </c>
      <c r="BU372" s="23">
        <v>12</v>
      </c>
      <c r="BV372" s="24">
        <v>67</v>
      </c>
      <c r="BW372" s="23">
        <v>30</v>
      </c>
      <c r="BX372" s="24">
        <v>67</v>
      </c>
      <c r="BY372" s="23">
        <v>30</v>
      </c>
      <c r="BZ372" s="24">
        <v>0</v>
      </c>
      <c r="CA372" s="23">
        <v>12</v>
      </c>
      <c r="CB372" s="24">
        <v>17</v>
      </c>
      <c r="CC372" s="23">
        <v>9</v>
      </c>
      <c r="CD372" s="24">
        <v>17</v>
      </c>
      <c r="CE372" s="23">
        <v>9</v>
      </c>
      <c r="CF372" s="24">
        <v>0</v>
      </c>
      <c r="CG372" s="20">
        <v>12</v>
      </c>
    </row>
    <row r="373" spans="1:85" x14ac:dyDescent="0.3">
      <c r="A373" t="s">
        <v>745</v>
      </c>
      <c r="B373">
        <v>21719</v>
      </c>
      <c r="C373" t="s">
        <v>746</v>
      </c>
      <c r="D373" s="19">
        <v>1010</v>
      </c>
      <c r="E373" s="20">
        <v>164</v>
      </c>
      <c r="F373" s="19">
        <v>228</v>
      </c>
      <c r="G373" s="23">
        <v>164</v>
      </c>
      <c r="H373" s="24">
        <v>112</v>
      </c>
      <c r="I373" s="23">
        <v>101</v>
      </c>
      <c r="J373" s="24">
        <v>112</v>
      </c>
      <c r="K373" s="23">
        <v>101</v>
      </c>
      <c r="L373" s="24">
        <v>0</v>
      </c>
      <c r="M373" s="23">
        <v>24</v>
      </c>
      <c r="N373" s="24">
        <v>83</v>
      </c>
      <c r="O373" s="23">
        <v>61</v>
      </c>
      <c r="P373" s="24">
        <v>73</v>
      </c>
      <c r="Q373" s="23">
        <v>61</v>
      </c>
      <c r="R373" s="24">
        <v>10</v>
      </c>
      <c r="S373" s="23">
        <v>17</v>
      </c>
      <c r="T373" s="24">
        <v>33</v>
      </c>
      <c r="U373" s="23">
        <v>36</v>
      </c>
      <c r="V373" s="24">
        <v>33</v>
      </c>
      <c r="W373" s="23">
        <v>36</v>
      </c>
      <c r="X373" s="24">
        <v>0</v>
      </c>
      <c r="Y373" s="20">
        <v>24</v>
      </c>
      <c r="Z373" s="19">
        <v>156</v>
      </c>
      <c r="AA373" s="23">
        <v>87</v>
      </c>
      <c r="AB373" s="24">
        <v>31</v>
      </c>
      <c r="AC373" s="23">
        <v>39</v>
      </c>
      <c r="AD373" s="24">
        <v>25</v>
      </c>
      <c r="AE373" s="23">
        <v>38</v>
      </c>
      <c r="AF373" s="24">
        <v>6</v>
      </c>
      <c r="AG373" s="23">
        <v>9</v>
      </c>
      <c r="AH373" s="24">
        <v>87</v>
      </c>
      <c r="AI373" s="23">
        <v>58</v>
      </c>
      <c r="AJ373" s="24">
        <v>62</v>
      </c>
      <c r="AK373" s="23">
        <v>44</v>
      </c>
      <c r="AL373" s="24">
        <v>25</v>
      </c>
      <c r="AM373" s="23">
        <v>30</v>
      </c>
      <c r="AN373" s="24">
        <v>38</v>
      </c>
      <c r="AO373" s="23">
        <v>22</v>
      </c>
      <c r="AP373" s="24">
        <v>38</v>
      </c>
      <c r="AQ373" s="23">
        <v>22</v>
      </c>
      <c r="AR373" s="24">
        <v>0</v>
      </c>
      <c r="AS373" s="20">
        <v>12</v>
      </c>
      <c r="AT373" s="19">
        <v>341</v>
      </c>
      <c r="AU373" s="23">
        <v>130</v>
      </c>
      <c r="AV373" s="24">
        <v>88</v>
      </c>
      <c r="AW373" s="23">
        <v>51</v>
      </c>
      <c r="AX373" s="24">
        <v>88</v>
      </c>
      <c r="AY373" s="23">
        <v>51</v>
      </c>
      <c r="AZ373" s="24">
        <v>0</v>
      </c>
      <c r="BA373" s="23">
        <v>12</v>
      </c>
      <c r="BB373" s="24">
        <v>233</v>
      </c>
      <c r="BC373" s="23">
        <v>93</v>
      </c>
      <c r="BD373" s="24">
        <v>211</v>
      </c>
      <c r="BE373" s="23">
        <v>87</v>
      </c>
      <c r="BF373" s="24">
        <v>22</v>
      </c>
      <c r="BG373" s="23">
        <v>26</v>
      </c>
      <c r="BH373" s="24">
        <v>20</v>
      </c>
      <c r="BI373" s="23">
        <v>23</v>
      </c>
      <c r="BJ373" s="24">
        <v>20</v>
      </c>
      <c r="BK373" s="23">
        <v>23</v>
      </c>
      <c r="BL373" s="24">
        <v>0</v>
      </c>
      <c r="BM373" s="20">
        <v>12</v>
      </c>
      <c r="BN373" s="19">
        <v>285</v>
      </c>
      <c r="BO373" s="23">
        <v>109</v>
      </c>
      <c r="BP373" s="24">
        <v>60</v>
      </c>
      <c r="BQ373" s="23">
        <v>46</v>
      </c>
      <c r="BR373" s="24">
        <v>60</v>
      </c>
      <c r="BS373" s="23">
        <v>46</v>
      </c>
      <c r="BT373" s="26">
        <v>0</v>
      </c>
      <c r="BU373" s="23">
        <v>12</v>
      </c>
      <c r="BV373" s="24">
        <v>183</v>
      </c>
      <c r="BW373" s="23">
        <v>67</v>
      </c>
      <c r="BX373" s="24">
        <v>174</v>
      </c>
      <c r="BY373" s="23">
        <v>62</v>
      </c>
      <c r="BZ373" s="24">
        <v>9</v>
      </c>
      <c r="CA373" s="23">
        <v>14</v>
      </c>
      <c r="CB373" s="24">
        <v>42</v>
      </c>
      <c r="CC373" s="23">
        <v>28</v>
      </c>
      <c r="CD373" s="24">
        <v>42</v>
      </c>
      <c r="CE373" s="23">
        <v>28</v>
      </c>
      <c r="CF373" s="24">
        <v>0</v>
      </c>
      <c r="CG373" s="20">
        <v>12</v>
      </c>
    </row>
    <row r="374" spans="1:85" x14ac:dyDescent="0.3">
      <c r="A374" t="s">
        <v>747</v>
      </c>
      <c r="B374">
        <v>21722</v>
      </c>
      <c r="C374" t="s">
        <v>748</v>
      </c>
      <c r="D374" s="19">
        <v>5663</v>
      </c>
      <c r="E374" s="20">
        <v>546</v>
      </c>
      <c r="F374" s="19">
        <v>655</v>
      </c>
      <c r="G374" s="23">
        <v>427</v>
      </c>
      <c r="H374" s="24">
        <v>248</v>
      </c>
      <c r="I374" s="23">
        <v>294</v>
      </c>
      <c r="J374" s="24">
        <v>82</v>
      </c>
      <c r="K374" s="23">
        <v>78</v>
      </c>
      <c r="L374" s="24">
        <v>166</v>
      </c>
      <c r="M374" s="23">
        <v>275</v>
      </c>
      <c r="N374" s="24">
        <v>304</v>
      </c>
      <c r="O374" s="23">
        <v>170</v>
      </c>
      <c r="P374" s="24">
        <v>192</v>
      </c>
      <c r="Q374" s="23">
        <v>133</v>
      </c>
      <c r="R374" s="24">
        <v>112</v>
      </c>
      <c r="S374" s="23">
        <v>99</v>
      </c>
      <c r="T374" s="24">
        <v>103</v>
      </c>
      <c r="U374" s="23">
        <v>70</v>
      </c>
      <c r="V374" s="24">
        <v>103</v>
      </c>
      <c r="W374" s="23">
        <v>70</v>
      </c>
      <c r="X374" s="24">
        <v>0</v>
      </c>
      <c r="Y374" s="20">
        <v>34</v>
      </c>
      <c r="Z374" s="19">
        <v>409</v>
      </c>
      <c r="AA374" s="23">
        <v>142</v>
      </c>
      <c r="AB374" s="24">
        <v>52</v>
      </c>
      <c r="AC374" s="23">
        <v>52</v>
      </c>
      <c r="AD374" s="24">
        <v>52</v>
      </c>
      <c r="AE374" s="23">
        <v>52</v>
      </c>
      <c r="AF374" s="24">
        <v>0</v>
      </c>
      <c r="AG374" s="23">
        <v>17</v>
      </c>
      <c r="AH374" s="24">
        <v>187</v>
      </c>
      <c r="AI374" s="23">
        <v>87</v>
      </c>
      <c r="AJ374" s="24">
        <v>120</v>
      </c>
      <c r="AK374" s="23">
        <v>67</v>
      </c>
      <c r="AL374" s="24">
        <v>67</v>
      </c>
      <c r="AM374" s="23">
        <v>46</v>
      </c>
      <c r="AN374" s="24">
        <v>170</v>
      </c>
      <c r="AO374" s="23">
        <v>79</v>
      </c>
      <c r="AP374" s="24">
        <v>170</v>
      </c>
      <c r="AQ374" s="23">
        <v>79</v>
      </c>
      <c r="AR374" s="24">
        <v>0</v>
      </c>
      <c r="AS374" s="20">
        <v>17</v>
      </c>
      <c r="AT374" s="19">
        <v>2492</v>
      </c>
      <c r="AU374" s="23">
        <v>522</v>
      </c>
      <c r="AV374" s="24">
        <v>707</v>
      </c>
      <c r="AW374" s="23">
        <v>316</v>
      </c>
      <c r="AX374" s="24">
        <v>538</v>
      </c>
      <c r="AY374" s="23">
        <v>194</v>
      </c>
      <c r="AZ374" s="24">
        <v>169</v>
      </c>
      <c r="BA374" s="23">
        <v>203</v>
      </c>
      <c r="BB374" s="24">
        <v>1388</v>
      </c>
      <c r="BC374" s="23">
        <v>283</v>
      </c>
      <c r="BD374" s="24">
        <v>1209</v>
      </c>
      <c r="BE374" s="23">
        <v>245</v>
      </c>
      <c r="BF374" s="24">
        <v>179</v>
      </c>
      <c r="BG374" s="23">
        <v>96</v>
      </c>
      <c r="BH374" s="24">
        <v>397</v>
      </c>
      <c r="BI374" s="23">
        <v>125</v>
      </c>
      <c r="BJ374" s="24">
        <v>397</v>
      </c>
      <c r="BK374" s="23">
        <v>125</v>
      </c>
      <c r="BL374" s="24">
        <v>0</v>
      </c>
      <c r="BM374" s="20">
        <v>17</v>
      </c>
      <c r="BN374" s="19">
        <v>2107</v>
      </c>
      <c r="BO374" s="23">
        <v>393</v>
      </c>
      <c r="BP374" s="24">
        <v>464</v>
      </c>
      <c r="BQ374" s="23">
        <v>193</v>
      </c>
      <c r="BR374" s="24">
        <v>453</v>
      </c>
      <c r="BS374" s="23">
        <v>194</v>
      </c>
      <c r="BT374" s="26">
        <v>11</v>
      </c>
      <c r="BU374" s="23">
        <v>19</v>
      </c>
      <c r="BV374" s="24">
        <v>1362</v>
      </c>
      <c r="BW374" s="23">
        <v>252</v>
      </c>
      <c r="BX374" s="24">
        <v>1324</v>
      </c>
      <c r="BY374" s="23">
        <v>251</v>
      </c>
      <c r="BZ374" s="24">
        <v>38</v>
      </c>
      <c r="CA374" s="23">
        <v>32</v>
      </c>
      <c r="CB374" s="24">
        <v>281</v>
      </c>
      <c r="CC374" s="23">
        <v>101</v>
      </c>
      <c r="CD374" s="24">
        <v>281</v>
      </c>
      <c r="CE374" s="23">
        <v>101</v>
      </c>
      <c r="CF374" s="24">
        <v>0</v>
      </c>
      <c r="CG374" s="20">
        <v>17</v>
      </c>
    </row>
    <row r="375" spans="1:85" x14ac:dyDescent="0.3">
      <c r="A375" t="s">
        <v>749</v>
      </c>
      <c r="B375">
        <v>21723</v>
      </c>
      <c r="C375" t="s">
        <v>750</v>
      </c>
      <c r="D375" s="19">
        <v>640</v>
      </c>
      <c r="E375" s="20">
        <v>215</v>
      </c>
      <c r="F375" s="19">
        <v>49</v>
      </c>
      <c r="G375" s="23">
        <v>63</v>
      </c>
      <c r="H375" s="24">
        <v>0</v>
      </c>
      <c r="I375" s="23">
        <v>24</v>
      </c>
      <c r="J375" s="24">
        <v>0</v>
      </c>
      <c r="K375" s="23">
        <v>24</v>
      </c>
      <c r="L375" s="24">
        <v>0</v>
      </c>
      <c r="M375" s="23">
        <v>24</v>
      </c>
      <c r="N375" s="24">
        <v>49</v>
      </c>
      <c r="O375" s="23">
        <v>63</v>
      </c>
      <c r="P375" s="24">
        <v>49</v>
      </c>
      <c r="Q375" s="23">
        <v>63</v>
      </c>
      <c r="R375" s="24">
        <v>0</v>
      </c>
      <c r="S375" s="23">
        <v>24</v>
      </c>
      <c r="T375" s="24">
        <v>0</v>
      </c>
      <c r="U375" s="23">
        <v>24</v>
      </c>
      <c r="V375" s="24">
        <v>0</v>
      </c>
      <c r="W375" s="23">
        <v>24</v>
      </c>
      <c r="X375" s="24">
        <v>0</v>
      </c>
      <c r="Y375" s="20">
        <v>24</v>
      </c>
      <c r="Z375" s="19">
        <v>22</v>
      </c>
      <c r="AA375" s="23">
        <v>34</v>
      </c>
      <c r="AB375" s="24">
        <v>0</v>
      </c>
      <c r="AC375" s="23">
        <v>12</v>
      </c>
      <c r="AD375" s="24">
        <v>0</v>
      </c>
      <c r="AE375" s="23">
        <v>12</v>
      </c>
      <c r="AF375" s="24">
        <v>0</v>
      </c>
      <c r="AG375" s="23">
        <v>12</v>
      </c>
      <c r="AH375" s="24">
        <v>22</v>
      </c>
      <c r="AI375" s="23">
        <v>34</v>
      </c>
      <c r="AJ375" s="24">
        <v>22</v>
      </c>
      <c r="AK375" s="23">
        <v>34</v>
      </c>
      <c r="AL375" s="24">
        <v>0</v>
      </c>
      <c r="AM375" s="23">
        <v>12</v>
      </c>
      <c r="AN375" s="24">
        <v>0</v>
      </c>
      <c r="AO375" s="23">
        <v>12</v>
      </c>
      <c r="AP375" s="24">
        <v>0</v>
      </c>
      <c r="AQ375" s="23">
        <v>12</v>
      </c>
      <c r="AR375" s="24">
        <v>0</v>
      </c>
      <c r="AS375" s="20">
        <v>12</v>
      </c>
      <c r="AT375" s="19">
        <v>112</v>
      </c>
      <c r="AU375" s="23">
        <v>104</v>
      </c>
      <c r="AV375" s="24">
        <v>16</v>
      </c>
      <c r="AW375" s="23">
        <v>25</v>
      </c>
      <c r="AX375" s="24">
        <v>16</v>
      </c>
      <c r="AY375" s="23">
        <v>25</v>
      </c>
      <c r="AZ375" s="24">
        <v>0</v>
      </c>
      <c r="BA375" s="23">
        <v>12</v>
      </c>
      <c r="BB375" s="24">
        <v>36</v>
      </c>
      <c r="BC375" s="23">
        <v>39</v>
      </c>
      <c r="BD375" s="24">
        <v>36</v>
      </c>
      <c r="BE375" s="23">
        <v>39</v>
      </c>
      <c r="BF375" s="24">
        <v>0</v>
      </c>
      <c r="BG375" s="23">
        <v>12</v>
      </c>
      <c r="BH375" s="24">
        <v>60</v>
      </c>
      <c r="BI375" s="23">
        <v>69</v>
      </c>
      <c r="BJ375" s="24">
        <v>60</v>
      </c>
      <c r="BK375" s="23">
        <v>69</v>
      </c>
      <c r="BL375" s="24">
        <v>0</v>
      </c>
      <c r="BM375" s="20">
        <v>12</v>
      </c>
      <c r="BN375" s="19">
        <v>457</v>
      </c>
      <c r="BO375" s="23">
        <v>203</v>
      </c>
      <c r="BP375" s="24">
        <v>109</v>
      </c>
      <c r="BQ375" s="23">
        <v>93</v>
      </c>
      <c r="BR375" s="24">
        <v>84</v>
      </c>
      <c r="BS375" s="23">
        <v>83</v>
      </c>
      <c r="BT375" s="26">
        <v>25</v>
      </c>
      <c r="BU375" s="23">
        <v>40</v>
      </c>
      <c r="BV375" s="24">
        <v>301</v>
      </c>
      <c r="BW375" s="23">
        <v>137</v>
      </c>
      <c r="BX375" s="24">
        <v>301</v>
      </c>
      <c r="BY375" s="23">
        <v>137</v>
      </c>
      <c r="BZ375" s="24">
        <v>0</v>
      </c>
      <c r="CA375" s="23">
        <v>12</v>
      </c>
      <c r="CB375" s="24">
        <v>47</v>
      </c>
      <c r="CC375" s="23">
        <v>59</v>
      </c>
      <c r="CD375" s="24">
        <v>47</v>
      </c>
      <c r="CE375" s="23">
        <v>59</v>
      </c>
      <c r="CF375" s="24">
        <v>0</v>
      </c>
      <c r="CG375" s="20">
        <v>12</v>
      </c>
    </row>
    <row r="376" spans="1:85" x14ac:dyDescent="0.3">
      <c r="A376" t="s">
        <v>751</v>
      </c>
      <c r="B376">
        <v>21727</v>
      </c>
      <c r="C376" t="s">
        <v>752</v>
      </c>
      <c r="D376" s="19">
        <v>4823</v>
      </c>
      <c r="E376" s="20">
        <v>384</v>
      </c>
      <c r="F376" s="19">
        <v>741</v>
      </c>
      <c r="G376" s="23">
        <v>357</v>
      </c>
      <c r="H376" s="24">
        <v>197</v>
      </c>
      <c r="I376" s="23">
        <v>177</v>
      </c>
      <c r="J376" s="24">
        <v>197</v>
      </c>
      <c r="K376" s="23">
        <v>177</v>
      </c>
      <c r="L376" s="24">
        <v>0</v>
      </c>
      <c r="M376" s="23">
        <v>34</v>
      </c>
      <c r="N376" s="24">
        <v>426</v>
      </c>
      <c r="O376" s="23">
        <v>232</v>
      </c>
      <c r="P376" s="24">
        <v>401</v>
      </c>
      <c r="Q376" s="23">
        <v>205</v>
      </c>
      <c r="R376" s="24">
        <v>25</v>
      </c>
      <c r="S376" s="23">
        <v>59</v>
      </c>
      <c r="T376" s="24">
        <v>118</v>
      </c>
      <c r="U376" s="23">
        <v>62</v>
      </c>
      <c r="V376" s="24">
        <v>118</v>
      </c>
      <c r="W376" s="23">
        <v>62</v>
      </c>
      <c r="X376" s="24">
        <v>0</v>
      </c>
      <c r="Y376" s="20">
        <v>34</v>
      </c>
      <c r="Z376" s="19">
        <v>532</v>
      </c>
      <c r="AA376" s="23">
        <v>202</v>
      </c>
      <c r="AB376" s="24">
        <v>119</v>
      </c>
      <c r="AC376" s="23">
        <v>76</v>
      </c>
      <c r="AD376" s="24">
        <v>119</v>
      </c>
      <c r="AE376" s="23">
        <v>76</v>
      </c>
      <c r="AF376" s="24">
        <v>0</v>
      </c>
      <c r="AG376" s="23">
        <v>17</v>
      </c>
      <c r="AH376" s="24">
        <v>300</v>
      </c>
      <c r="AI376" s="23">
        <v>135</v>
      </c>
      <c r="AJ376" s="24">
        <v>284</v>
      </c>
      <c r="AK376" s="23">
        <v>134</v>
      </c>
      <c r="AL376" s="24">
        <v>16</v>
      </c>
      <c r="AM376" s="23">
        <v>16</v>
      </c>
      <c r="AN376" s="24">
        <v>113</v>
      </c>
      <c r="AO376" s="23">
        <v>63</v>
      </c>
      <c r="AP376" s="24">
        <v>113</v>
      </c>
      <c r="AQ376" s="23">
        <v>63</v>
      </c>
      <c r="AR376" s="24">
        <v>0</v>
      </c>
      <c r="AS376" s="20">
        <v>17</v>
      </c>
      <c r="AT376" s="19">
        <v>1606</v>
      </c>
      <c r="AU376" s="23">
        <v>339</v>
      </c>
      <c r="AV376" s="24">
        <v>400</v>
      </c>
      <c r="AW376" s="23">
        <v>100</v>
      </c>
      <c r="AX376" s="24">
        <v>378</v>
      </c>
      <c r="AY376" s="23">
        <v>95</v>
      </c>
      <c r="AZ376" s="24">
        <v>22</v>
      </c>
      <c r="BA376" s="23">
        <v>31</v>
      </c>
      <c r="BB376" s="24">
        <v>877</v>
      </c>
      <c r="BC376" s="23">
        <v>223</v>
      </c>
      <c r="BD376" s="24">
        <v>785</v>
      </c>
      <c r="BE376" s="23">
        <v>202</v>
      </c>
      <c r="BF376" s="24">
        <v>92</v>
      </c>
      <c r="BG376" s="23">
        <v>61</v>
      </c>
      <c r="BH376" s="24">
        <v>329</v>
      </c>
      <c r="BI376" s="23">
        <v>125</v>
      </c>
      <c r="BJ376" s="24">
        <v>329</v>
      </c>
      <c r="BK376" s="23">
        <v>125</v>
      </c>
      <c r="BL376" s="24">
        <v>0</v>
      </c>
      <c r="BM376" s="20">
        <v>17</v>
      </c>
      <c r="BN376" s="19">
        <v>1944</v>
      </c>
      <c r="BO376" s="23">
        <v>437</v>
      </c>
      <c r="BP376" s="24">
        <v>357</v>
      </c>
      <c r="BQ376" s="23">
        <v>105</v>
      </c>
      <c r="BR376" s="24">
        <v>351</v>
      </c>
      <c r="BS376" s="23">
        <v>104</v>
      </c>
      <c r="BT376" s="26">
        <v>6</v>
      </c>
      <c r="BU376" s="23">
        <v>10</v>
      </c>
      <c r="BV376" s="24">
        <v>1362</v>
      </c>
      <c r="BW376" s="23">
        <v>372</v>
      </c>
      <c r="BX376" s="24">
        <v>1328</v>
      </c>
      <c r="BY376" s="23">
        <v>352</v>
      </c>
      <c r="BZ376" s="24">
        <v>34</v>
      </c>
      <c r="CA376" s="23">
        <v>44</v>
      </c>
      <c r="CB376" s="24">
        <v>225</v>
      </c>
      <c r="CC376" s="23">
        <v>75</v>
      </c>
      <c r="CD376" s="24">
        <v>225</v>
      </c>
      <c r="CE376" s="23">
        <v>75</v>
      </c>
      <c r="CF376" s="24">
        <v>0</v>
      </c>
      <c r="CG376" s="20">
        <v>17</v>
      </c>
    </row>
    <row r="377" spans="1:85" x14ac:dyDescent="0.3">
      <c r="A377" t="s">
        <v>753</v>
      </c>
      <c r="B377">
        <v>21733</v>
      </c>
      <c r="C377" t="s">
        <v>754</v>
      </c>
      <c r="D377" s="19">
        <v>1020</v>
      </c>
      <c r="E377" s="20">
        <v>255</v>
      </c>
      <c r="F377" s="19">
        <v>0</v>
      </c>
      <c r="G377" s="23">
        <v>24</v>
      </c>
      <c r="H377" s="24">
        <v>0</v>
      </c>
      <c r="I377" s="23">
        <v>24</v>
      </c>
      <c r="J377" s="24">
        <v>0</v>
      </c>
      <c r="K377" s="23">
        <v>24</v>
      </c>
      <c r="L377" s="24">
        <v>0</v>
      </c>
      <c r="M377" s="23">
        <v>24</v>
      </c>
      <c r="N377" s="24">
        <v>0</v>
      </c>
      <c r="O377" s="23">
        <v>24</v>
      </c>
      <c r="P377" s="24">
        <v>0</v>
      </c>
      <c r="Q377" s="23">
        <v>24</v>
      </c>
      <c r="R377" s="24">
        <v>0</v>
      </c>
      <c r="S377" s="23">
        <v>24</v>
      </c>
      <c r="T377" s="24">
        <v>0</v>
      </c>
      <c r="U377" s="23">
        <v>24</v>
      </c>
      <c r="V377" s="24">
        <v>0</v>
      </c>
      <c r="W377" s="23">
        <v>24</v>
      </c>
      <c r="X377" s="24">
        <v>0</v>
      </c>
      <c r="Y377" s="20">
        <v>24</v>
      </c>
      <c r="Z377" s="19">
        <v>0</v>
      </c>
      <c r="AA377" s="23">
        <v>12</v>
      </c>
      <c r="AB377" s="24">
        <v>0</v>
      </c>
      <c r="AC377" s="23">
        <v>12</v>
      </c>
      <c r="AD377" s="24">
        <v>0</v>
      </c>
      <c r="AE377" s="23">
        <v>12</v>
      </c>
      <c r="AF377" s="24">
        <v>0</v>
      </c>
      <c r="AG377" s="23">
        <v>12</v>
      </c>
      <c r="AH377" s="24">
        <v>0</v>
      </c>
      <c r="AI377" s="23">
        <v>12</v>
      </c>
      <c r="AJ377" s="24">
        <v>0</v>
      </c>
      <c r="AK377" s="23">
        <v>12</v>
      </c>
      <c r="AL377" s="24">
        <v>0</v>
      </c>
      <c r="AM377" s="23">
        <v>12</v>
      </c>
      <c r="AN377" s="24">
        <v>0</v>
      </c>
      <c r="AO377" s="23">
        <v>12</v>
      </c>
      <c r="AP377" s="24">
        <v>0</v>
      </c>
      <c r="AQ377" s="23">
        <v>12</v>
      </c>
      <c r="AR377" s="24">
        <v>0</v>
      </c>
      <c r="AS377" s="20">
        <v>12</v>
      </c>
      <c r="AT377" s="19">
        <v>101</v>
      </c>
      <c r="AU377" s="23">
        <v>109</v>
      </c>
      <c r="AV377" s="24">
        <v>0</v>
      </c>
      <c r="AW377" s="23">
        <v>12</v>
      </c>
      <c r="AX377" s="24">
        <v>0</v>
      </c>
      <c r="AY377" s="23">
        <v>12</v>
      </c>
      <c r="AZ377" s="24">
        <v>0</v>
      </c>
      <c r="BA377" s="23">
        <v>12</v>
      </c>
      <c r="BB377" s="24">
        <v>84</v>
      </c>
      <c r="BC377" s="23">
        <v>109</v>
      </c>
      <c r="BD377" s="24">
        <v>84</v>
      </c>
      <c r="BE377" s="23">
        <v>109</v>
      </c>
      <c r="BF377" s="24">
        <v>0</v>
      </c>
      <c r="BG377" s="23">
        <v>12</v>
      </c>
      <c r="BH377" s="24">
        <v>17</v>
      </c>
      <c r="BI377" s="23">
        <v>27</v>
      </c>
      <c r="BJ377" s="24">
        <v>17</v>
      </c>
      <c r="BK377" s="23">
        <v>27</v>
      </c>
      <c r="BL377" s="24">
        <v>0</v>
      </c>
      <c r="BM377" s="20">
        <v>12</v>
      </c>
      <c r="BN377" s="19">
        <v>919</v>
      </c>
      <c r="BO377" s="23">
        <v>271</v>
      </c>
      <c r="BP377" s="24">
        <v>132</v>
      </c>
      <c r="BQ377" s="23">
        <v>104</v>
      </c>
      <c r="BR377" s="24">
        <v>132</v>
      </c>
      <c r="BS377" s="23">
        <v>104</v>
      </c>
      <c r="BT377" s="26">
        <v>0</v>
      </c>
      <c r="BU377" s="23">
        <v>12</v>
      </c>
      <c r="BV377" s="24">
        <v>668</v>
      </c>
      <c r="BW377" s="23">
        <v>233</v>
      </c>
      <c r="BX377" s="24">
        <v>650</v>
      </c>
      <c r="BY377" s="23">
        <v>223</v>
      </c>
      <c r="BZ377" s="24">
        <v>18</v>
      </c>
      <c r="CA377" s="23">
        <v>31</v>
      </c>
      <c r="CB377" s="24">
        <v>119</v>
      </c>
      <c r="CC377" s="23">
        <v>85</v>
      </c>
      <c r="CD377" s="24">
        <v>119</v>
      </c>
      <c r="CE377" s="23">
        <v>85</v>
      </c>
      <c r="CF377" s="24">
        <v>0</v>
      </c>
      <c r="CG377" s="20">
        <v>12</v>
      </c>
    </row>
    <row r="378" spans="1:85" x14ac:dyDescent="0.3">
      <c r="A378" t="s">
        <v>755</v>
      </c>
      <c r="B378">
        <v>21734</v>
      </c>
      <c r="C378" t="s">
        <v>756</v>
      </c>
      <c r="D378" s="19">
        <v>698</v>
      </c>
      <c r="E378" s="20">
        <v>209</v>
      </c>
      <c r="F378" s="19">
        <v>166</v>
      </c>
      <c r="G378" s="23">
        <v>110</v>
      </c>
      <c r="H378" s="24">
        <v>21</v>
      </c>
      <c r="I378" s="23">
        <v>36</v>
      </c>
      <c r="J378" s="24">
        <v>21</v>
      </c>
      <c r="K378" s="23">
        <v>36</v>
      </c>
      <c r="L378" s="24">
        <v>0</v>
      </c>
      <c r="M378" s="23">
        <v>24</v>
      </c>
      <c r="N378" s="24">
        <v>89</v>
      </c>
      <c r="O378" s="23">
        <v>71</v>
      </c>
      <c r="P378" s="24">
        <v>72</v>
      </c>
      <c r="Q378" s="23">
        <v>64</v>
      </c>
      <c r="R378" s="24">
        <v>17</v>
      </c>
      <c r="S378" s="23">
        <v>25</v>
      </c>
      <c r="T378" s="24">
        <v>56</v>
      </c>
      <c r="U378" s="23">
        <v>59</v>
      </c>
      <c r="V378" s="24">
        <v>56</v>
      </c>
      <c r="W378" s="23">
        <v>59</v>
      </c>
      <c r="X378" s="24">
        <v>0</v>
      </c>
      <c r="Y378" s="20">
        <v>24</v>
      </c>
      <c r="Z378" s="19">
        <v>152</v>
      </c>
      <c r="AA378" s="23">
        <v>130</v>
      </c>
      <c r="AB378" s="24">
        <v>71</v>
      </c>
      <c r="AC378" s="23">
        <v>88</v>
      </c>
      <c r="AD378" s="24">
        <v>71</v>
      </c>
      <c r="AE378" s="23">
        <v>88</v>
      </c>
      <c r="AF378" s="24">
        <v>0</v>
      </c>
      <c r="AG378" s="23">
        <v>12</v>
      </c>
      <c r="AH378" s="24">
        <v>67</v>
      </c>
      <c r="AI378" s="23">
        <v>51</v>
      </c>
      <c r="AJ378" s="24">
        <v>63</v>
      </c>
      <c r="AK378" s="23">
        <v>50</v>
      </c>
      <c r="AL378" s="24">
        <v>4</v>
      </c>
      <c r="AM378" s="23">
        <v>9</v>
      </c>
      <c r="AN378" s="24">
        <v>14</v>
      </c>
      <c r="AO378" s="23">
        <v>15</v>
      </c>
      <c r="AP378" s="24">
        <v>14</v>
      </c>
      <c r="AQ378" s="23">
        <v>15</v>
      </c>
      <c r="AR378" s="24">
        <v>0</v>
      </c>
      <c r="AS378" s="20">
        <v>12</v>
      </c>
      <c r="AT378" s="19">
        <v>231</v>
      </c>
      <c r="AU378" s="23">
        <v>99</v>
      </c>
      <c r="AV378" s="24">
        <v>21</v>
      </c>
      <c r="AW378" s="23">
        <v>23</v>
      </c>
      <c r="AX378" s="24">
        <v>21</v>
      </c>
      <c r="AY378" s="23">
        <v>23</v>
      </c>
      <c r="AZ378" s="24">
        <v>0</v>
      </c>
      <c r="BA378" s="23">
        <v>12</v>
      </c>
      <c r="BB378" s="24">
        <v>155</v>
      </c>
      <c r="BC378" s="23">
        <v>72</v>
      </c>
      <c r="BD378" s="24">
        <v>111</v>
      </c>
      <c r="BE378" s="23">
        <v>63</v>
      </c>
      <c r="BF378" s="24">
        <v>44</v>
      </c>
      <c r="BG378" s="23">
        <v>34</v>
      </c>
      <c r="BH378" s="24">
        <v>55</v>
      </c>
      <c r="BI378" s="23">
        <v>35</v>
      </c>
      <c r="BJ378" s="24">
        <v>55</v>
      </c>
      <c r="BK378" s="23">
        <v>35</v>
      </c>
      <c r="BL378" s="24">
        <v>0</v>
      </c>
      <c r="BM378" s="20">
        <v>12</v>
      </c>
      <c r="BN378" s="19">
        <v>149</v>
      </c>
      <c r="BO378" s="23">
        <v>83</v>
      </c>
      <c r="BP378" s="24">
        <v>13</v>
      </c>
      <c r="BQ378" s="23">
        <v>20</v>
      </c>
      <c r="BR378" s="24">
        <v>13</v>
      </c>
      <c r="BS378" s="23">
        <v>20</v>
      </c>
      <c r="BT378" s="26">
        <v>0</v>
      </c>
      <c r="BU378" s="23">
        <v>12</v>
      </c>
      <c r="BV378" s="24">
        <v>117</v>
      </c>
      <c r="BW378" s="23">
        <v>66</v>
      </c>
      <c r="BX378" s="24">
        <v>107</v>
      </c>
      <c r="BY378" s="23">
        <v>64</v>
      </c>
      <c r="BZ378" s="24">
        <v>10</v>
      </c>
      <c r="CA378" s="23">
        <v>16</v>
      </c>
      <c r="CB378" s="24">
        <v>19</v>
      </c>
      <c r="CC378" s="23">
        <v>21</v>
      </c>
      <c r="CD378" s="24">
        <v>19</v>
      </c>
      <c r="CE378" s="23">
        <v>21</v>
      </c>
      <c r="CF378" s="24">
        <v>0</v>
      </c>
      <c r="CG378" s="20">
        <v>12</v>
      </c>
    </row>
    <row r="379" spans="1:85" x14ac:dyDescent="0.3">
      <c r="A379" t="s">
        <v>757</v>
      </c>
      <c r="B379">
        <v>21737</v>
      </c>
      <c r="C379" t="s">
        <v>758</v>
      </c>
      <c r="D379" s="19">
        <v>2297</v>
      </c>
      <c r="E379" s="20">
        <v>448</v>
      </c>
      <c r="F379" s="19">
        <v>19</v>
      </c>
      <c r="G379" s="23">
        <v>33</v>
      </c>
      <c r="H379" s="24">
        <v>0</v>
      </c>
      <c r="I379" s="23">
        <v>24</v>
      </c>
      <c r="J379" s="24">
        <v>0</v>
      </c>
      <c r="K379" s="23">
        <v>24</v>
      </c>
      <c r="L379" s="24">
        <v>0</v>
      </c>
      <c r="M379" s="23">
        <v>24</v>
      </c>
      <c r="N379" s="24">
        <v>2</v>
      </c>
      <c r="O379" s="23">
        <v>19</v>
      </c>
      <c r="P379" s="24">
        <v>1</v>
      </c>
      <c r="Q379" s="23">
        <v>17</v>
      </c>
      <c r="R379" s="24">
        <v>1</v>
      </c>
      <c r="S379" s="23">
        <v>17</v>
      </c>
      <c r="T379" s="24">
        <v>17</v>
      </c>
      <c r="U379" s="23">
        <v>38</v>
      </c>
      <c r="V379" s="24">
        <v>17</v>
      </c>
      <c r="W379" s="23">
        <v>38</v>
      </c>
      <c r="X379" s="24">
        <v>0</v>
      </c>
      <c r="Y379" s="20">
        <v>24</v>
      </c>
      <c r="Z379" s="19">
        <v>0</v>
      </c>
      <c r="AA379" s="23">
        <v>12</v>
      </c>
      <c r="AB379" s="24">
        <v>0</v>
      </c>
      <c r="AC379" s="23">
        <v>12</v>
      </c>
      <c r="AD379" s="24">
        <v>0</v>
      </c>
      <c r="AE379" s="23">
        <v>12</v>
      </c>
      <c r="AF379" s="24">
        <v>0</v>
      </c>
      <c r="AG379" s="23">
        <v>12</v>
      </c>
      <c r="AH379" s="24">
        <v>0</v>
      </c>
      <c r="AI379" s="23">
        <v>12</v>
      </c>
      <c r="AJ379" s="24">
        <v>0</v>
      </c>
      <c r="AK379" s="23">
        <v>12</v>
      </c>
      <c r="AL379" s="24">
        <v>0</v>
      </c>
      <c r="AM379" s="23">
        <v>12</v>
      </c>
      <c r="AN379" s="24">
        <v>0</v>
      </c>
      <c r="AO379" s="23">
        <v>12</v>
      </c>
      <c r="AP379" s="24">
        <v>0</v>
      </c>
      <c r="AQ379" s="23">
        <v>12</v>
      </c>
      <c r="AR379" s="24">
        <v>0</v>
      </c>
      <c r="AS379" s="20">
        <v>12</v>
      </c>
      <c r="AT379" s="19">
        <v>87</v>
      </c>
      <c r="AU379" s="23">
        <v>82</v>
      </c>
      <c r="AV379" s="24">
        <v>41</v>
      </c>
      <c r="AW379" s="23">
        <v>49</v>
      </c>
      <c r="AX379" s="24">
        <v>10</v>
      </c>
      <c r="AY379" s="23">
        <v>16</v>
      </c>
      <c r="AZ379" s="24">
        <v>31</v>
      </c>
      <c r="BA379" s="23">
        <v>47</v>
      </c>
      <c r="BB379" s="24">
        <v>46</v>
      </c>
      <c r="BC379" s="23">
        <v>43</v>
      </c>
      <c r="BD379" s="24">
        <v>46</v>
      </c>
      <c r="BE379" s="23">
        <v>43</v>
      </c>
      <c r="BF379" s="24">
        <v>0</v>
      </c>
      <c r="BG379" s="23">
        <v>12</v>
      </c>
      <c r="BH379" s="24">
        <v>0</v>
      </c>
      <c r="BI379" s="23">
        <v>12</v>
      </c>
      <c r="BJ379" s="24">
        <v>0</v>
      </c>
      <c r="BK379" s="23">
        <v>12</v>
      </c>
      <c r="BL379" s="24">
        <v>0</v>
      </c>
      <c r="BM379" s="20">
        <v>12</v>
      </c>
      <c r="BN379" s="19">
        <v>2191</v>
      </c>
      <c r="BO379" s="23">
        <v>442</v>
      </c>
      <c r="BP379" s="24">
        <v>789</v>
      </c>
      <c r="BQ379" s="23">
        <v>235</v>
      </c>
      <c r="BR379" s="24">
        <v>789</v>
      </c>
      <c r="BS379" s="23">
        <v>235</v>
      </c>
      <c r="BT379" s="26">
        <v>0</v>
      </c>
      <c r="BU379" s="23">
        <v>12</v>
      </c>
      <c r="BV379" s="24">
        <v>1246</v>
      </c>
      <c r="BW379" s="23">
        <v>248</v>
      </c>
      <c r="BX379" s="24">
        <v>1236</v>
      </c>
      <c r="BY379" s="23">
        <v>250</v>
      </c>
      <c r="BZ379" s="24">
        <v>10</v>
      </c>
      <c r="CA379" s="23">
        <v>17</v>
      </c>
      <c r="CB379" s="24">
        <v>156</v>
      </c>
      <c r="CC379" s="23">
        <v>93</v>
      </c>
      <c r="CD379" s="24">
        <v>156</v>
      </c>
      <c r="CE379" s="23">
        <v>93</v>
      </c>
      <c r="CF379" s="24">
        <v>0</v>
      </c>
      <c r="CG379" s="20">
        <v>12</v>
      </c>
    </row>
    <row r="380" spans="1:85" x14ac:dyDescent="0.3">
      <c r="A380" t="s">
        <v>759</v>
      </c>
      <c r="B380">
        <v>21738</v>
      </c>
      <c r="C380" t="s">
        <v>760</v>
      </c>
      <c r="D380" s="19">
        <v>3585</v>
      </c>
      <c r="E380" s="20">
        <v>437</v>
      </c>
      <c r="F380" s="19">
        <v>29</v>
      </c>
      <c r="G380" s="23">
        <v>48</v>
      </c>
      <c r="H380" s="24">
        <v>13</v>
      </c>
      <c r="I380" s="23">
        <v>35</v>
      </c>
      <c r="J380" s="24">
        <v>13</v>
      </c>
      <c r="K380" s="23">
        <v>35</v>
      </c>
      <c r="L380" s="24">
        <v>0</v>
      </c>
      <c r="M380" s="23">
        <v>24</v>
      </c>
      <c r="N380" s="24">
        <v>16</v>
      </c>
      <c r="O380" s="23">
        <v>39</v>
      </c>
      <c r="P380" s="24">
        <v>16</v>
      </c>
      <c r="Q380" s="23">
        <v>39</v>
      </c>
      <c r="R380" s="24">
        <v>0</v>
      </c>
      <c r="S380" s="23">
        <v>24</v>
      </c>
      <c r="T380" s="24">
        <v>0</v>
      </c>
      <c r="U380" s="23">
        <v>24</v>
      </c>
      <c r="V380" s="24">
        <v>0</v>
      </c>
      <c r="W380" s="23">
        <v>24</v>
      </c>
      <c r="X380" s="24">
        <v>0</v>
      </c>
      <c r="Y380" s="20">
        <v>24</v>
      </c>
      <c r="Z380" s="19">
        <v>123</v>
      </c>
      <c r="AA380" s="23">
        <v>129</v>
      </c>
      <c r="AB380" s="24">
        <v>0</v>
      </c>
      <c r="AC380" s="23">
        <v>12</v>
      </c>
      <c r="AD380" s="24">
        <v>0</v>
      </c>
      <c r="AE380" s="23">
        <v>12</v>
      </c>
      <c r="AF380" s="24">
        <v>0</v>
      </c>
      <c r="AG380" s="23">
        <v>12</v>
      </c>
      <c r="AH380" s="24">
        <v>89</v>
      </c>
      <c r="AI380" s="23">
        <v>104</v>
      </c>
      <c r="AJ380" s="24">
        <v>89</v>
      </c>
      <c r="AK380" s="23">
        <v>104</v>
      </c>
      <c r="AL380" s="24">
        <v>0</v>
      </c>
      <c r="AM380" s="23">
        <v>12</v>
      </c>
      <c r="AN380" s="24">
        <v>34</v>
      </c>
      <c r="AO380" s="23">
        <v>40</v>
      </c>
      <c r="AP380" s="24">
        <v>34</v>
      </c>
      <c r="AQ380" s="23">
        <v>40</v>
      </c>
      <c r="AR380" s="24">
        <v>0</v>
      </c>
      <c r="AS380" s="20">
        <v>12</v>
      </c>
      <c r="AT380" s="19">
        <v>372</v>
      </c>
      <c r="AU380" s="23">
        <v>185</v>
      </c>
      <c r="AV380" s="24">
        <v>85</v>
      </c>
      <c r="AW380" s="23">
        <v>88</v>
      </c>
      <c r="AX380" s="24">
        <v>85</v>
      </c>
      <c r="AY380" s="23">
        <v>88</v>
      </c>
      <c r="AZ380" s="24">
        <v>0</v>
      </c>
      <c r="BA380" s="23">
        <v>12</v>
      </c>
      <c r="BB380" s="24">
        <v>180</v>
      </c>
      <c r="BC380" s="23">
        <v>104</v>
      </c>
      <c r="BD380" s="24">
        <v>180</v>
      </c>
      <c r="BE380" s="23">
        <v>104</v>
      </c>
      <c r="BF380" s="24">
        <v>0</v>
      </c>
      <c r="BG380" s="23">
        <v>12</v>
      </c>
      <c r="BH380" s="24">
        <v>107</v>
      </c>
      <c r="BI380" s="23">
        <v>88</v>
      </c>
      <c r="BJ380" s="24">
        <v>107</v>
      </c>
      <c r="BK380" s="23">
        <v>88</v>
      </c>
      <c r="BL380" s="24">
        <v>0</v>
      </c>
      <c r="BM380" s="20">
        <v>12</v>
      </c>
      <c r="BN380" s="19">
        <v>3061</v>
      </c>
      <c r="BO380" s="23">
        <v>436</v>
      </c>
      <c r="BP380" s="24">
        <v>934</v>
      </c>
      <c r="BQ380" s="23">
        <v>212</v>
      </c>
      <c r="BR380" s="24">
        <v>934</v>
      </c>
      <c r="BS380" s="23">
        <v>212</v>
      </c>
      <c r="BT380" s="26">
        <v>0</v>
      </c>
      <c r="BU380" s="23">
        <v>12</v>
      </c>
      <c r="BV380" s="24">
        <v>1797</v>
      </c>
      <c r="BW380" s="23">
        <v>268</v>
      </c>
      <c r="BX380" s="24">
        <v>1778</v>
      </c>
      <c r="BY380" s="23">
        <v>262</v>
      </c>
      <c r="BZ380" s="24">
        <v>19</v>
      </c>
      <c r="CA380" s="23">
        <v>29</v>
      </c>
      <c r="CB380" s="24">
        <v>330</v>
      </c>
      <c r="CC380" s="23">
        <v>144</v>
      </c>
      <c r="CD380" s="24">
        <v>330</v>
      </c>
      <c r="CE380" s="23">
        <v>144</v>
      </c>
      <c r="CF380" s="24">
        <v>0</v>
      </c>
      <c r="CG380" s="20">
        <v>12</v>
      </c>
    </row>
    <row r="381" spans="1:85" x14ac:dyDescent="0.3">
      <c r="A381" t="s">
        <v>761</v>
      </c>
      <c r="B381">
        <v>21740</v>
      </c>
      <c r="C381" t="s">
        <v>762</v>
      </c>
      <c r="D381" s="19">
        <v>56985</v>
      </c>
      <c r="E381" s="20">
        <v>1131</v>
      </c>
      <c r="F381" s="19">
        <v>15045</v>
      </c>
      <c r="G381" s="23">
        <v>1888</v>
      </c>
      <c r="H381" s="24">
        <v>5733</v>
      </c>
      <c r="I381" s="23">
        <v>1069</v>
      </c>
      <c r="J381" s="24">
        <v>5589</v>
      </c>
      <c r="K381" s="23">
        <v>1064</v>
      </c>
      <c r="L381" s="24">
        <v>144</v>
      </c>
      <c r="M381" s="23">
        <v>114</v>
      </c>
      <c r="N381" s="24">
        <v>7741</v>
      </c>
      <c r="O381" s="23">
        <v>1086</v>
      </c>
      <c r="P381" s="24">
        <v>6314</v>
      </c>
      <c r="Q381" s="23">
        <v>936</v>
      </c>
      <c r="R381" s="24">
        <v>1427</v>
      </c>
      <c r="S381" s="23">
        <v>487</v>
      </c>
      <c r="T381" s="24">
        <v>1571</v>
      </c>
      <c r="U381" s="23">
        <v>373</v>
      </c>
      <c r="V381" s="24">
        <v>1571</v>
      </c>
      <c r="W381" s="23">
        <v>373</v>
      </c>
      <c r="X381" s="24">
        <v>0</v>
      </c>
      <c r="Y381" s="20">
        <v>56</v>
      </c>
      <c r="Z381" s="19">
        <v>6970</v>
      </c>
      <c r="AA381" s="23">
        <v>994</v>
      </c>
      <c r="AB381" s="24">
        <v>1878</v>
      </c>
      <c r="AC381" s="23">
        <v>462</v>
      </c>
      <c r="AD381" s="24">
        <v>1822</v>
      </c>
      <c r="AE381" s="23">
        <v>469</v>
      </c>
      <c r="AF381" s="24">
        <v>56</v>
      </c>
      <c r="AG381" s="23">
        <v>67</v>
      </c>
      <c r="AH381" s="24">
        <v>3824</v>
      </c>
      <c r="AI381" s="23">
        <v>578</v>
      </c>
      <c r="AJ381" s="24">
        <v>3005</v>
      </c>
      <c r="AK381" s="23">
        <v>535</v>
      </c>
      <c r="AL381" s="24">
        <v>819</v>
      </c>
      <c r="AM381" s="23">
        <v>223</v>
      </c>
      <c r="AN381" s="24">
        <v>1268</v>
      </c>
      <c r="AO381" s="23">
        <v>241</v>
      </c>
      <c r="AP381" s="24">
        <v>1268</v>
      </c>
      <c r="AQ381" s="23">
        <v>241</v>
      </c>
      <c r="AR381" s="24">
        <v>0</v>
      </c>
      <c r="AS381" s="20">
        <v>28</v>
      </c>
      <c r="AT381" s="19">
        <v>17878</v>
      </c>
      <c r="AU381" s="23">
        <v>1375</v>
      </c>
      <c r="AV381" s="24">
        <v>4046</v>
      </c>
      <c r="AW381" s="23">
        <v>569</v>
      </c>
      <c r="AX381" s="24">
        <v>3816</v>
      </c>
      <c r="AY381" s="23">
        <v>556</v>
      </c>
      <c r="AZ381" s="24">
        <v>230</v>
      </c>
      <c r="BA381" s="23">
        <v>214</v>
      </c>
      <c r="BB381" s="24">
        <v>10638</v>
      </c>
      <c r="BC381" s="23">
        <v>854</v>
      </c>
      <c r="BD381" s="24">
        <v>9434</v>
      </c>
      <c r="BE381" s="23">
        <v>754</v>
      </c>
      <c r="BF381" s="24">
        <v>1204</v>
      </c>
      <c r="BG381" s="23">
        <v>338</v>
      </c>
      <c r="BH381" s="24">
        <v>3194</v>
      </c>
      <c r="BI381" s="23">
        <v>374</v>
      </c>
      <c r="BJ381" s="24">
        <v>3175</v>
      </c>
      <c r="BK381" s="23">
        <v>374</v>
      </c>
      <c r="BL381" s="24">
        <v>19</v>
      </c>
      <c r="BM381" s="20">
        <v>30</v>
      </c>
      <c r="BN381" s="19">
        <v>17092</v>
      </c>
      <c r="BO381" s="23">
        <v>1223</v>
      </c>
      <c r="BP381" s="24">
        <v>2973</v>
      </c>
      <c r="BQ381" s="23">
        <v>476</v>
      </c>
      <c r="BR381" s="24">
        <v>2785</v>
      </c>
      <c r="BS381" s="23">
        <v>465</v>
      </c>
      <c r="BT381" s="26">
        <v>188</v>
      </c>
      <c r="BU381" s="23">
        <v>122</v>
      </c>
      <c r="BV381" s="24">
        <v>11821</v>
      </c>
      <c r="BW381" s="23">
        <v>825</v>
      </c>
      <c r="BX381" s="24">
        <v>11302</v>
      </c>
      <c r="BY381" s="23">
        <v>795</v>
      </c>
      <c r="BZ381" s="24">
        <v>519</v>
      </c>
      <c r="CA381" s="23">
        <v>180</v>
      </c>
      <c r="CB381" s="24">
        <v>2298</v>
      </c>
      <c r="CC381" s="23">
        <v>348</v>
      </c>
      <c r="CD381" s="24">
        <v>2282</v>
      </c>
      <c r="CE381" s="23">
        <v>349</v>
      </c>
      <c r="CF381" s="24">
        <v>16</v>
      </c>
      <c r="CG381" s="20">
        <v>26</v>
      </c>
    </row>
    <row r="382" spans="1:85" x14ac:dyDescent="0.3">
      <c r="A382" t="s">
        <v>763</v>
      </c>
      <c r="B382">
        <v>21742</v>
      </c>
      <c r="C382" t="s">
        <v>764</v>
      </c>
      <c r="D382" s="19">
        <v>32735</v>
      </c>
      <c r="E382" s="20">
        <v>1024</v>
      </c>
      <c r="F382" s="19">
        <v>4449</v>
      </c>
      <c r="G382" s="23">
        <v>864</v>
      </c>
      <c r="H382" s="24">
        <v>930</v>
      </c>
      <c r="I382" s="23">
        <v>378</v>
      </c>
      <c r="J382" s="24">
        <v>898</v>
      </c>
      <c r="K382" s="23">
        <v>374</v>
      </c>
      <c r="L382" s="24">
        <v>32</v>
      </c>
      <c r="M382" s="23">
        <v>58</v>
      </c>
      <c r="N382" s="24">
        <v>2803</v>
      </c>
      <c r="O382" s="23">
        <v>597</v>
      </c>
      <c r="P382" s="24">
        <v>2329</v>
      </c>
      <c r="Q382" s="23">
        <v>564</v>
      </c>
      <c r="R382" s="24">
        <v>474</v>
      </c>
      <c r="S382" s="23">
        <v>204</v>
      </c>
      <c r="T382" s="24">
        <v>716</v>
      </c>
      <c r="U382" s="23">
        <v>253</v>
      </c>
      <c r="V382" s="24">
        <v>686</v>
      </c>
      <c r="W382" s="23">
        <v>241</v>
      </c>
      <c r="X382" s="24">
        <v>30</v>
      </c>
      <c r="Y382" s="20">
        <v>49</v>
      </c>
      <c r="Z382" s="19">
        <v>3399</v>
      </c>
      <c r="AA382" s="23">
        <v>794</v>
      </c>
      <c r="AB382" s="24">
        <v>1134</v>
      </c>
      <c r="AC382" s="23">
        <v>371</v>
      </c>
      <c r="AD382" s="24">
        <v>1027</v>
      </c>
      <c r="AE382" s="23">
        <v>358</v>
      </c>
      <c r="AF382" s="24">
        <v>107</v>
      </c>
      <c r="AG382" s="23">
        <v>121</v>
      </c>
      <c r="AH382" s="24">
        <v>1749</v>
      </c>
      <c r="AI382" s="23">
        <v>419</v>
      </c>
      <c r="AJ382" s="24">
        <v>1369</v>
      </c>
      <c r="AK382" s="23">
        <v>355</v>
      </c>
      <c r="AL382" s="24">
        <v>380</v>
      </c>
      <c r="AM382" s="23">
        <v>180</v>
      </c>
      <c r="AN382" s="24">
        <v>516</v>
      </c>
      <c r="AO382" s="23">
        <v>179</v>
      </c>
      <c r="AP382" s="24">
        <v>516</v>
      </c>
      <c r="AQ382" s="23">
        <v>179</v>
      </c>
      <c r="AR382" s="24">
        <v>0</v>
      </c>
      <c r="AS382" s="20">
        <v>25</v>
      </c>
      <c r="AT382" s="19">
        <v>9964</v>
      </c>
      <c r="AU382" s="23">
        <v>921</v>
      </c>
      <c r="AV382" s="24">
        <v>2758</v>
      </c>
      <c r="AW382" s="23">
        <v>449</v>
      </c>
      <c r="AX382" s="24">
        <v>2688</v>
      </c>
      <c r="AY382" s="23">
        <v>462</v>
      </c>
      <c r="AZ382" s="24">
        <v>70</v>
      </c>
      <c r="BA382" s="23">
        <v>111</v>
      </c>
      <c r="BB382" s="24">
        <v>5217</v>
      </c>
      <c r="BC382" s="23">
        <v>560</v>
      </c>
      <c r="BD382" s="24">
        <v>4635</v>
      </c>
      <c r="BE382" s="23">
        <v>517</v>
      </c>
      <c r="BF382" s="24">
        <v>582</v>
      </c>
      <c r="BG382" s="23">
        <v>259</v>
      </c>
      <c r="BH382" s="24">
        <v>1989</v>
      </c>
      <c r="BI382" s="23">
        <v>287</v>
      </c>
      <c r="BJ382" s="24">
        <v>1932</v>
      </c>
      <c r="BK382" s="23">
        <v>282</v>
      </c>
      <c r="BL382" s="24">
        <v>57</v>
      </c>
      <c r="BM382" s="20">
        <v>49</v>
      </c>
      <c r="BN382" s="19">
        <v>14923</v>
      </c>
      <c r="BO382" s="23">
        <v>906</v>
      </c>
      <c r="BP382" s="24">
        <v>3026</v>
      </c>
      <c r="BQ382" s="23">
        <v>387</v>
      </c>
      <c r="BR382" s="24">
        <v>2863</v>
      </c>
      <c r="BS382" s="23">
        <v>381</v>
      </c>
      <c r="BT382" s="26">
        <v>163</v>
      </c>
      <c r="BU382" s="23">
        <v>134</v>
      </c>
      <c r="BV382" s="24">
        <v>9801</v>
      </c>
      <c r="BW382" s="23">
        <v>670</v>
      </c>
      <c r="BX382" s="24">
        <v>9499</v>
      </c>
      <c r="BY382" s="23">
        <v>633</v>
      </c>
      <c r="BZ382" s="24">
        <v>302</v>
      </c>
      <c r="CA382" s="23">
        <v>134</v>
      </c>
      <c r="CB382" s="24">
        <v>2096</v>
      </c>
      <c r="CC382" s="23">
        <v>287</v>
      </c>
      <c r="CD382" s="24">
        <v>2096</v>
      </c>
      <c r="CE382" s="23">
        <v>287</v>
      </c>
      <c r="CF382" s="24">
        <v>0</v>
      </c>
      <c r="CG382" s="20">
        <v>25</v>
      </c>
    </row>
    <row r="383" spans="1:85" x14ac:dyDescent="0.3">
      <c r="A383" t="s">
        <v>765</v>
      </c>
      <c r="B383">
        <v>21746</v>
      </c>
      <c r="C383" t="s">
        <v>766</v>
      </c>
      <c r="D383" s="19">
        <v>0</v>
      </c>
      <c r="E383" s="20">
        <v>12</v>
      </c>
      <c r="F383" s="19">
        <v>0</v>
      </c>
      <c r="G383" s="23">
        <v>24</v>
      </c>
      <c r="H383" s="24">
        <v>0</v>
      </c>
      <c r="I383" s="23">
        <v>24</v>
      </c>
      <c r="J383" s="24">
        <v>0</v>
      </c>
      <c r="K383" s="23">
        <v>24</v>
      </c>
      <c r="L383" s="24">
        <v>0</v>
      </c>
      <c r="M383" s="23">
        <v>24</v>
      </c>
      <c r="N383" s="24">
        <v>0</v>
      </c>
      <c r="O383" s="23">
        <v>24</v>
      </c>
      <c r="P383" s="24">
        <v>0</v>
      </c>
      <c r="Q383" s="23">
        <v>24</v>
      </c>
      <c r="R383" s="24">
        <v>0</v>
      </c>
      <c r="S383" s="23">
        <v>24</v>
      </c>
      <c r="T383" s="24">
        <v>0</v>
      </c>
      <c r="U383" s="23">
        <v>24</v>
      </c>
      <c r="V383" s="24">
        <v>0</v>
      </c>
      <c r="W383" s="23">
        <v>24</v>
      </c>
      <c r="X383" s="24">
        <v>0</v>
      </c>
      <c r="Y383" s="20">
        <v>24</v>
      </c>
      <c r="Z383" s="19">
        <v>0</v>
      </c>
      <c r="AA383" s="23">
        <v>12</v>
      </c>
      <c r="AB383" s="24">
        <v>0</v>
      </c>
      <c r="AC383" s="23">
        <v>12</v>
      </c>
      <c r="AD383" s="24">
        <v>0</v>
      </c>
      <c r="AE383" s="23">
        <v>12</v>
      </c>
      <c r="AF383" s="24">
        <v>0</v>
      </c>
      <c r="AG383" s="23">
        <v>12</v>
      </c>
      <c r="AH383" s="24">
        <v>0</v>
      </c>
      <c r="AI383" s="23">
        <v>12</v>
      </c>
      <c r="AJ383" s="24">
        <v>0</v>
      </c>
      <c r="AK383" s="23">
        <v>12</v>
      </c>
      <c r="AL383" s="24">
        <v>0</v>
      </c>
      <c r="AM383" s="23">
        <v>12</v>
      </c>
      <c r="AN383" s="24">
        <v>0</v>
      </c>
      <c r="AO383" s="23">
        <v>12</v>
      </c>
      <c r="AP383" s="24">
        <v>0</v>
      </c>
      <c r="AQ383" s="23">
        <v>12</v>
      </c>
      <c r="AR383" s="24">
        <v>0</v>
      </c>
      <c r="AS383" s="20">
        <v>12</v>
      </c>
      <c r="AT383" s="19">
        <v>0</v>
      </c>
      <c r="AU383" s="23">
        <v>12</v>
      </c>
      <c r="AV383" s="24">
        <v>0</v>
      </c>
      <c r="AW383" s="23">
        <v>12</v>
      </c>
      <c r="AX383" s="24">
        <v>0</v>
      </c>
      <c r="AY383" s="23">
        <v>12</v>
      </c>
      <c r="AZ383" s="24">
        <v>0</v>
      </c>
      <c r="BA383" s="23">
        <v>12</v>
      </c>
      <c r="BB383" s="24">
        <v>0</v>
      </c>
      <c r="BC383" s="23">
        <v>12</v>
      </c>
      <c r="BD383" s="24">
        <v>0</v>
      </c>
      <c r="BE383" s="23">
        <v>12</v>
      </c>
      <c r="BF383" s="24">
        <v>0</v>
      </c>
      <c r="BG383" s="23">
        <v>12</v>
      </c>
      <c r="BH383" s="24">
        <v>0</v>
      </c>
      <c r="BI383" s="23">
        <v>12</v>
      </c>
      <c r="BJ383" s="24">
        <v>0</v>
      </c>
      <c r="BK383" s="23">
        <v>12</v>
      </c>
      <c r="BL383" s="24">
        <v>0</v>
      </c>
      <c r="BM383" s="20">
        <v>12</v>
      </c>
      <c r="BN383" s="19">
        <v>0</v>
      </c>
      <c r="BO383" s="23">
        <v>12</v>
      </c>
      <c r="BP383" s="24">
        <v>0</v>
      </c>
      <c r="BQ383" s="23">
        <v>12</v>
      </c>
      <c r="BR383" s="24">
        <v>0</v>
      </c>
      <c r="BS383" s="23">
        <v>12</v>
      </c>
      <c r="BT383" s="26">
        <v>0</v>
      </c>
      <c r="BU383" s="23">
        <v>12</v>
      </c>
      <c r="BV383" s="24">
        <v>0</v>
      </c>
      <c r="BW383" s="23">
        <v>12</v>
      </c>
      <c r="BX383" s="24">
        <v>0</v>
      </c>
      <c r="BY383" s="23">
        <v>12</v>
      </c>
      <c r="BZ383" s="24">
        <v>0</v>
      </c>
      <c r="CA383" s="23">
        <v>12</v>
      </c>
      <c r="CB383" s="24">
        <v>0</v>
      </c>
      <c r="CC383" s="23">
        <v>12</v>
      </c>
      <c r="CD383" s="24">
        <v>0</v>
      </c>
      <c r="CE383" s="23">
        <v>12</v>
      </c>
      <c r="CF383" s="24">
        <v>0</v>
      </c>
      <c r="CG383" s="20">
        <v>12</v>
      </c>
    </row>
    <row r="384" spans="1:85" x14ac:dyDescent="0.3">
      <c r="A384" t="s">
        <v>767</v>
      </c>
      <c r="B384">
        <v>21750</v>
      </c>
      <c r="C384" t="s">
        <v>768</v>
      </c>
      <c r="D384" s="19">
        <v>3679</v>
      </c>
      <c r="E384" s="20">
        <v>280</v>
      </c>
      <c r="F384" s="19">
        <v>742</v>
      </c>
      <c r="G384" s="23">
        <v>276</v>
      </c>
      <c r="H384" s="24">
        <v>243</v>
      </c>
      <c r="I384" s="23">
        <v>146</v>
      </c>
      <c r="J384" s="24">
        <v>233</v>
      </c>
      <c r="K384" s="23">
        <v>145</v>
      </c>
      <c r="L384" s="24">
        <v>10</v>
      </c>
      <c r="M384" s="23">
        <v>26</v>
      </c>
      <c r="N384" s="24">
        <v>374</v>
      </c>
      <c r="O384" s="23">
        <v>148</v>
      </c>
      <c r="P384" s="24">
        <v>360</v>
      </c>
      <c r="Q384" s="23">
        <v>147</v>
      </c>
      <c r="R384" s="24">
        <v>14</v>
      </c>
      <c r="S384" s="23">
        <v>17</v>
      </c>
      <c r="T384" s="24">
        <v>125</v>
      </c>
      <c r="U384" s="23">
        <v>54</v>
      </c>
      <c r="V384" s="24">
        <v>125</v>
      </c>
      <c r="W384" s="23">
        <v>54</v>
      </c>
      <c r="X384" s="24">
        <v>0</v>
      </c>
      <c r="Y384" s="20">
        <v>24</v>
      </c>
      <c r="Z384" s="19">
        <v>631</v>
      </c>
      <c r="AA384" s="23">
        <v>224</v>
      </c>
      <c r="AB384" s="24">
        <v>182</v>
      </c>
      <c r="AC384" s="23">
        <v>80</v>
      </c>
      <c r="AD384" s="24">
        <v>172</v>
      </c>
      <c r="AE384" s="23">
        <v>75</v>
      </c>
      <c r="AF384" s="24">
        <v>10</v>
      </c>
      <c r="AG384" s="23">
        <v>15</v>
      </c>
      <c r="AH384" s="24">
        <v>348</v>
      </c>
      <c r="AI384" s="23">
        <v>159</v>
      </c>
      <c r="AJ384" s="24">
        <v>298</v>
      </c>
      <c r="AK384" s="23">
        <v>159</v>
      </c>
      <c r="AL384" s="24">
        <v>50</v>
      </c>
      <c r="AM384" s="23">
        <v>37</v>
      </c>
      <c r="AN384" s="24">
        <v>101</v>
      </c>
      <c r="AO384" s="23">
        <v>51</v>
      </c>
      <c r="AP384" s="24">
        <v>101</v>
      </c>
      <c r="AQ384" s="23">
        <v>51</v>
      </c>
      <c r="AR384" s="24">
        <v>0</v>
      </c>
      <c r="AS384" s="20">
        <v>12</v>
      </c>
      <c r="AT384" s="19">
        <v>1247</v>
      </c>
      <c r="AU384" s="23">
        <v>240</v>
      </c>
      <c r="AV384" s="24">
        <v>253</v>
      </c>
      <c r="AW384" s="23">
        <v>95</v>
      </c>
      <c r="AX384" s="24">
        <v>247</v>
      </c>
      <c r="AY384" s="23">
        <v>97</v>
      </c>
      <c r="AZ384" s="24">
        <v>6</v>
      </c>
      <c r="BA384" s="23">
        <v>8</v>
      </c>
      <c r="BB384" s="24">
        <v>730</v>
      </c>
      <c r="BC384" s="23">
        <v>151</v>
      </c>
      <c r="BD384" s="24">
        <v>677</v>
      </c>
      <c r="BE384" s="23">
        <v>150</v>
      </c>
      <c r="BF384" s="24">
        <v>53</v>
      </c>
      <c r="BG384" s="23">
        <v>27</v>
      </c>
      <c r="BH384" s="24">
        <v>264</v>
      </c>
      <c r="BI384" s="23">
        <v>70</v>
      </c>
      <c r="BJ384" s="24">
        <v>264</v>
      </c>
      <c r="BK384" s="23">
        <v>70</v>
      </c>
      <c r="BL384" s="24">
        <v>0</v>
      </c>
      <c r="BM384" s="20">
        <v>12</v>
      </c>
      <c r="BN384" s="19">
        <v>1059</v>
      </c>
      <c r="BO384" s="23">
        <v>216</v>
      </c>
      <c r="BP384" s="24">
        <v>199</v>
      </c>
      <c r="BQ384" s="23">
        <v>81</v>
      </c>
      <c r="BR384" s="24">
        <v>166</v>
      </c>
      <c r="BS384" s="23">
        <v>71</v>
      </c>
      <c r="BT384" s="26">
        <v>33</v>
      </c>
      <c r="BU384" s="23">
        <v>49</v>
      </c>
      <c r="BV384" s="24">
        <v>637</v>
      </c>
      <c r="BW384" s="23">
        <v>147</v>
      </c>
      <c r="BX384" s="24">
        <v>625</v>
      </c>
      <c r="BY384" s="23">
        <v>144</v>
      </c>
      <c r="BZ384" s="24">
        <v>12</v>
      </c>
      <c r="CA384" s="23">
        <v>17</v>
      </c>
      <c r="CB384" s="24">
        <v>223</v>
      </c>
      <c r="CC384" s="23">
        <v>61</v>
      </c>
      <c r="CD384" s="24">
        <v>223</v>
      </c>
      <c r="CE384" s="23">
        <v>61</v>
      </c>
      <c r="CF384" s="24">
        <v>0</v>
      </c>
      <c r="CG384" s="20">
        <v>12</v>
      </c>
    </row>
    <row r="385" spans="1:85" x14ac:dyDescent="0.3">
      <c r="A385" t="s">
        <v>769</v>
      </c>
      <c r="B385">
        <v>21754</v>
      </c>
      <c r="C385" t="s">
        <v>770</v>
      </c>
      <c r="D385" s="19">
        <v>6194</v>
      </c>
      <c r="E385" s="20">
        <v>589</v>
      </c>
      <c r="F385" s="19">
        <v>507</v>
      </c>
      <c r="G385" s="23">
        <v>328</v>
      </c>
      <c r="H385" s="24">
        <v>152</v>
      </c>
      <c r="I385" s="23">
        <v>157</v>
      </c>
      <c r="J385" s="24">
        <v>141</v>
      </c>
      <c r="K385" s="23">
        <v>155</v>
      </c>
      <c r="L385" s="24">
        <v>11</v>
      </c>
      <c r="M385" s="23">
        <v>36</v>
      </c>
      <c r="N385" s="24">
        <v>291</v>
      </c>
      <c r="O385" s="23">
        <v>179</v>
      </c>
      <c r="P385" s="24">
        <v>210</v>
      </c>
      <c r="Q385" s="23">
        <v>143</v>
      </c>
      <c r="R385" s="24">
        <v>81</v>
      </c>
      <c r="S385" s="23">
        <v>107</v>
      </c>
      <c r="T385" s="24">
        <v>64</v>
      </c>
      <c r="U385" s="23">
        <v>71</v>
      </c>
      <c r="V385" s="24">
        <v>64</v>
      </c>
      <c r="W385" s="23">
        <v>71</v>
      </c>
      <c r="X385" s="24">
        <v>0</v>
      </c>
      <c r="Y385" s="20">
        <v>34</v>
      </c>
      <c r="Z385" s="19">
        <v>344</v>
      </c>
      <c r="AA385" s="23">
        <v>197</v>
      </c>
      <c r="AB385" s="24">
        <v>103</v>
      </c>
      <c r="AC385" s="23">
        <v>81</v>
      </c>
      <c r="AD385" s="24">
        <v>93</v>
      </c>
      <c r="AE385" s="23">
        <v>75</v>
      </c>
      <c r="AF385" s="24">
        <v>10</v>
      </c>
      <c r="AG385" s="23">
        <v>15</v>
      </c>
      <c r="AH385" s="24">
        <v>227</v>
      </c>
      <c r="AI385" s="23">
        <v>135</v>
      </c>
      <c r="AJ385" s="24">
        <v>227</v>
      </c>
      <c r="AK385" s="23">
        <v>135</v>
      </c>
      <c r="AL385" s="24">
        <v>0</v>
      </c>
      <c r="AM385" s="23">
        <v>17</v>
      </c>
      <c r="AN385" s="24">
        <v>14</v>
      </c>
      <c r="AO385" s="23">
        <v>23</v>
      </c>
      <c r="AP385" s="24">
        <v>14</v>
      </c>
      <c r="AQ385" s="23">
        <v>23</v>
      </c>
      <c r="AR385" s="24">
        <v>0</v>
      </c>
      <c r="AS385" s="20">
        <v>17</v>
      </c>
      <c r="AT385" s="19">
        <v>990</v>
      </c>
      <c r="AU385" s="23">
        <v>324</v>
      </c>
      <c r="AV385" s="24">
        <v>239</v>
      </c>
      <c r="AW385" s="23">
        <v>111</v>
      </c>
      <c r="AX385" s="24">
        <v>238</v>
      </c>
      <c r="AY385" s="23">
        <v>112</v>
      </c>
      <c r="AZ385" s="24">
        <v>1</v>
      </c>
      <c r="BA385" s="23">
        <v>5</v>
      </c>
      <c r="BB385" s="24">
        <v>624</v>
      </c>
      <c r="BC385" s="23">
        <v>273</v>
      </c>
      <c r="BD385" s="24">
        <v>610</v>
      </c>
      <c r="BE385" s="23">
        <v>272</v>
      </c>
      <c r="BF385" s="24">
        <v>14</v>
      </c>
      <c r="BG385" s="23">
        <v>18</v>
      </c>
      <c r="BH385" s="24">
        <v>127</v>
      </c>
      <c r="BI385" s="23">
        <v>90</v>
      </c>
      <c r="BJ385" s="24">
        <v>127</v>
      </c>
      <c r="BK385" s="23">
        <v>90</v>
      </c>
      <c r="BL385" s="24">
        <v>0</v>
      </c>
      <c r="BM385" s="20">
        <v>17</v>
      </c>
      <c r="BN385" s="19">
        <v>4353</v>
      </c>
      <c r="BO385" s="23">
        <v>451</v>
      </c>
      <c r="BP385" s="24">
        <v>1103</v>
      </c>
      <c r="BQ385" s="23">
        <v>185</v>
      </c>
      <c r="BR385" s="24">
        <v>1103</v>
      </c>
      <c r="BS385" s="23">
        <v>185</v>
      </c>
      <c r="BT385" s="26">
        <v>0</v>
      </c>
      <c r="BU385" s="23">
        <v>17</v>
      </c>
      <c r="BV385" s="24">
        <v>2700</v>
      </c>
      <c r="BW385" s="23">
        <v>300</v>
      </c>
      <c r="BX385" s="24">
        <v>2656</v>
      </c>
      <c r="BY385" s="23">
        <v>296</v>
      </c>
      <c r="BZ385" s="24">
        <v>44</v>
      </c>
      <c r="CA385" s="23">
        <v>43</v>
      </c>
      <c r="CB385" s="24">
        <v>550</v>
      </c>
      <c r="CC385" s="23">
        <v>159</v>
      </c>
      <c r="CD385" s="24">
        <v>550</v>
      </c>
      <c r="CE385" s="23">
        <v>159</v>
      </c>
      <c r="CF385" s="24">
        <v>0</v>
      </c>
      <c r="CG385" s="20">
        <v>17</v>
      </c>
    </row>
    <row r="386" spans="1:85" x14ac:dyDescent="0.3">
      <c r="A386" t="s">
        <v>771</v>
      </c>
      <c r="B386">
        <v>21755</v>
      </c>
      <c r="C386" t="s">
        <v>772</v>
      </c>
      <c r="D386" s="19">
        <v>5548</v>
      </c>
      <c r="E386" s="20">
        <v>342</v>
      </c>
      <c r="F386" s="19">
        <v>314</v>
      </c>
      <c r="G386" s="23">
        <v>199</v>
      </c>
      <c r="H386" s="24">
        <v>83</v>
      </c>
      <c r="I386" s="23">
        <v>101</v>
      </c>
      <c r="J386" s="24">
        <v>83</v>
      </c>
      <c r="K386" s="23">
        <v>101</v>
      </c>
      <c r="L386" s="24">
        <v>0</v>
      </c>
      <c r="M386" s="23">
        <v>34</v>
      </c>
      <c r="N386" s="24">
        <v>170</v>
      </c>
      <c r="O386" s="23">
        <v>112</v>
      </c>
      <c r="P386" s="24">
        <v>145</v>
      </c>
      <c r="Q386" s="23">
        <v>104</v>
      </c>
      <c r="R386" s="24">
        <v>25</v>
      </c>
      <c r="S386" s="23">
        <v>46</v>
      </c>
      <c r="T386" s="24">
        <v>61</v>
      </c>
      <c r="U386" s="23">
        <v>50</v>
      </c>
      <c r="V386" s="24">
        <v>61</v>
      </c>
      <c r="W386" s="23">
        <v>50</v>
      </c>
      <c r="X386" s="24">
        <v>0</v>
      </c>
      <c r="Y386" s="20">
        <v>34</v>
      </c>
      <c r="Z386" s="19">
        <v>275</v>
      </c>
      <c r="AA386" s="23">
        <v>128</v>
      </c>
      <c r="AB386" s="24">
        <v>61</v>
      </c>
      <c r="AC386" s="23">
        <v>51</v>
      </c>
      <c r="AD386" s="24">
        <v>61</v>
      </c>
      <c r="AE386" s="23">
        <v>51</v>
      </c>
      <c r="AF386" s="24">
        <v>0</v>
      </c>
      <c r="AG386" s="23">
        <v>17</v>
      </c>
      <c r="AH386" s="24">
        <v>168</v>
      </c>
      <c r="AI386" s="23">
        <v>89</v>
      </c>
      <c r="AJ386" s="24">
        <v>115</v>
      </c>
      <c r="AK386" s="23">
        <v>68</v>
      </c>
      <c r="AL386" s="24">
        <v>53</v>
      </c>
      <c r="AM386" s="23">
        <v>41</v>
      </c>
      <c r="AN386" s="24">
        <v>46</v>
      </c>
      <c r="AO386" s="23">
        <v>32</v>
      </c>
      <c r="AP386" s="24">
        <v>46</v>
      </c>
      <c r="AQ386" s="23">
        <v>32</v>
      </c>
      <c r="AR386" s="24">
        <v>0</v>
      </c>
      <c r="AS386" s="20">
        <v>17</v>
      </c>
      <c r="AT386" s="19">
        <v>944</v>
      </c>
      <c r="AU386" s="23">
        <v>220</v>
      </c>
      <c r="AV386" s="24">
        <v>190</v>
      </c>
      <c r="AW386" s="23">
        <v>91</v>
      </c>
      <c r="AX386" s="24">
        <v>190</v>
      </c>
      <c r="AY386" s="23">
        <v>91</v>
      </c>
      <c r="AZ386" s="24">
        <v>0</v>
      </c>
      <c r="BA386" s="23">
        <v>17</v>
      </c>
      <c r="BB386" s="24">
        <v>440</v>
      </c>
      <c r="BC386" s="23">
        <v>142</v>
      </c>
      <c r="BD386" s="24">
        <v>422</v>
      </c>
      <c r="BE386" s="23">
        <v>135</v>
      </c>
      <c r="BF386" s="24">
        <v>18</v>
      </c>
      <c r="BG386" s="23">
        <v>21</v>
      </c>
      <c r="BH386" s="24">
        <v>314</v>
      </c>
      <c r="BI386" s="23">
        <v>98</v>
      </c>
      <c r="BJ386" s="24">
        <v>314</v>
      </c>
      <c r="BK386" s="23">
        <v>98</v>
      </c>
      <c r="BL386" s="24">
        <v>0</v>
      </c>
      <c r="BM386" s="20">
        <v>17</v>
      </c>
      <c r="BN386" s="19">
        <v>4015</v>
      </c>
      <c r="BO386" s="23">
        <v>341</v>
      </c>
      <c r="BP386" s="24">
        <v>880</v>
      </c>
      <c r="BQ386" s="23">
        <v>163</v>
      </c>
      <c r="BR386" s="24">
        <v>859</v>
      </c>
      <c r="BS386" s="23">
        <v>160</v>
      </c>
      <c r="BT386" s="26">
        <v>21</v>
      </c>
      <c r="BU386" s="23">
        <v>30</v>
      </c>
      <c r="BV386" s="24">
        <v>2540</v>
      </c>
      <c r="BW386" s="23">
        <v>229</v>
      </c>
      <c r="BX386" s="24">
        <v>2514</v>
      </c>
      <c r="BY386" s="23">
        <v>222</v>
      </c>
      <c r="BZ386" s="24">
        <v>26</v>
      </c>
      <c r="CA386" s="23">
        <v>23</v>
      </c>
      <c r="CB386" s="24">
        <v>595</v>
      </c>
      <c r="CC386" s="23">
        <v>139</v>
      </c>
      <c r="CD386" s="24">
        <v>595</v>
      </c>
      <c r="CE386" s="23">
        <v>139</v>
      </c>
      <c r="CF386" s="24">
        <v>0</v>
      </c>
      <c r="CG386" s="20">
        <v>17</v>
      </c>
    </row>
    <row r="387" spans="1:85" x14ac:dyDescent="0.3">
      <c r="A387" t="s">
        <v>773</v>
      </c>
      <c r="B387">
        <v>21756</v>
      </c>
      <c r="C387" t="s">
        <v>774</v>
      </c>
      <c r="D387" s="19">
        <v>3635</v>
      </c>
      <c r="E387" s="20">
        <v>499</v>
      </c>
      <c r="F387" s="19">
        <v>485</v>
      </c>
      <c r="G387" s="23">
        <v>360</v>
      </c>
      <c r="H387" s="24">
        <v>166</v>
      </c>
      <c r="I387" s="23">
        <v>179</v>
      </c>
      <c r="J387" s="24">
        <v>146</v>
      </c>
      <c r="K387" s="23">
        <v>176</v>
      </c>
      <c r="L387" s="24">
        <v>20</v>
      </c>
      <c r="M387" s="23">
        <v>43</v>
      </c>
      <c r="N387" s="24">
        <v>260</v>
      </c>
      <c r="O387" s="23">
        <v>203</v>
      </c>
      <c r="P387" s="24">
        <v>193</v>
      </c>
      <c r="Q387" s="23">
        <v>137</v>
      </c>
      <c r="R387" s="24">
        <v>67</v>
      </c>
      <c r="S387" s="23">
        <v>111</v>
      </c>
      <c r="T387" s="24">
        <v>59</v>
      </c>
      <c r="U387" s="23">
        <v>75</v>
      </c>
      <c r="V387" s="24">
        <v>59</v>
      </c>
      <c r="W387" s="23">
        <v>75</v>
      </c>
      <c r="X387" s="24">
        <v>0</v>
      </c>
      <c r="Y387" s="20">
        <v>24</v>
      </c>
      <c r="Z387" s="19">
        <v>425</v>
      </c>
      <c r="AA387" s="23">
        <v>264</v>
      </c>
      <c r="AB387" s="24">
        <v>148</v>
      </c>
      <c r="AC387" s="23">
        <v>155</v>
      </c>
      <c r="AD387" s="24">
        <v>137</v>
      </c>
      <c r="AE387" s="23">
        <v>155</v>
      </c>
      <c r="AF387" s="24">
        <v>11</v>
      </c>
      <c r="AG387" s="23">
        <v>17</v>
      </c>
      <c r="AH387" s="24">
        <v>260</v>
      </c>
      <c r="AI387" s="23">
        <v>133</v>
      </c>
      <c r="AJ387" s="24">
        <v>192</v>
      </c>
      <c r="AK387" s="23">
        <v>121</v>
      </c>
      <c r="AL387" s="24">
        <v>68</v>
      </c>
      <c r="AM387" s="23">
        <v>53</v>
      </c>
      <c r="AN387" s="24">
        <v>17</v>
      </c>
      <c r="AO387" s="23">
        <v>19</v>
      </c>
      <c r="AP387" s="24">
        <v>17</v>
      </c>
      <c r="AQ387" s="23">
        <v>19</v>
      </c>
      <c r="AR387" s="24">
        <v>0</v>
      </c>
      <c r="AS387" s="20">
        <v>12</v>
      </c>
      <c r="AT387" s="19">
        <v>737</v>
      </c>
      <c r="AU387" s="23">
        <v>198</v>
      </c>
      <c r="AV387" s="24">
        <v>148</v>
      </c>
      <c r="AW387" s="23">
        <v>75</v>
      </c>
      <c r="AX387" s="24">
        <v>148</v>
      </c>
      <c r="AY387" s="23">
        <v>75</v>
      </c>
      <c r="AZ387" s="24">
        <v>0</v>
      </c>
      <c r="BA387" s="23">
        <v>12</v>
      </c>
      <c r="BB387" s="24">
        <v>446</v>
      </c>
      <c r="BC387" s="23">
        <v>146</v>
      </c>
      <c r="BD387" s="24">
        <v>431</v>
      </c>
      <c r="BE387" s="23">
        <v>143</v>
      </c>
      <c r="BF387" s="24">
        <v>15</v>
      </c>
      <c r="BG387" s="23">
        <v>17</v>
      </c>
      <c r="BH387" s="24">
        <v>143</v>
      </c>
      <c r="BI387" s="23">
        <v>74</v>
      </c>
      <c r="BJ387" s="24">
        <v>143</v>
      </c>
      <c r="BK387" s="23">
        <v>74</v>
      </c>
      <c r="BL387" s="24">
        <v>0</v>
      </c>
      <c r="BM387" s="20">
        <v>12</v>
      </c>
      <c r="BN387" s="19">
        <v>1988</v>
      </c>
      <c r="BO387" s="23">
        <v>439</v>
      </c>
      <c r="BP387" s="24">
        <v>390</v>
      </c>
      <c r="BQ387" s="23">
        <v>127</v>
      </c>
      <c r="BR387" s="24">
        <v>390</v>
      </c>
      <c r="BS387" s="23">
        <v>127</v>
      </c>
      <c r="BT387" s="26">
        <v>0</v>
      </c>
      <c r="BU387" s="23">
        <v>12</v>
      </c>
      <c r="BV387" s="24">
        <v>1355</v>
      </c>
      <c r="BW387" s="23">
        <v>366</v>
      </c>
      <c r="BX387" s="24">
        <v>1355</v>
      </c>
      <c r="BY387" s="23">
        <v>366</v>
      </c>
      <c r="BZ387" s="24">
        <v>0</v>
      </c>
      <c r="CA387" s="23">
        <v>12</v>
      </c>
      <c r="CB387" s="24">
        <v>243</v>
      </c>
      <c r="CC387" s="23">
        <v>105</v>
      </c>
      <c r="CD387" s="24">
        <v>243</v>
      </c>
      <c r="CE387" s="23">
        <v>105</v>
      </c>
      <c r="CF387" s="24">
        <v>0</v>
      </c>
      <c r="CG387" s="20">
        <v>12</v>
      </c>
    </row>
    <row r="388" spans="1:85" x14ac:dyDescent="0.3">
      <c r="A388" t="s">
        <v>775</v>
      </c>
      <c r="B388">
        <v>21757</v>
      </c>
      <c r="C388" t="s">
        <v>776</v>
      </c>
      <c r="D388" s="19">
        <v>3331</v>
      </c>
      <c r="E388" s="20">
        <v>319</v>
      </c>
      <c r="F388" s="19">
        <v>329</v>
      </c>
      <c r="G388" s="23">
        <v>230</v>
      </c>
      <c r="H388" s="24">
        <v>53</v>
      </c>
      <c r="I388" s="23">
        <v>60</v>
      </c>
      <c r="J388" s="24">
        <v>53</v>
      </c>
      <c r="K388" s="23">
        <v>60</v>
      </c>
      <c r="L388" s="24">
        <v>0</v>
      </c>
      <c r="M388" s="23">
        <v>24</v>
      </c>
      <c r="N388" s="24">
        <v>184</v>
      </c>
      <c r="O388" s="23">
        <v>160</v>
      </c>
      <c r="P388" s="24">
        <v>151</v>
      </c>
      <c r="Q388" s="23">
        <v>123</v>
      </c>
      <c r="R388" s="24">
        <v>33</v>
      </c>
      <c r="S388" s="23">
        <v>50</v>
      </c>
      <c r="T388" s="24">
        <v>92</v>
      </c>
      <c r="U388" s="23">
        <v>83</v>
      </c>
      <c r="V388" s="24">
        <v>92</v>
      </c>
      <c r="W388" s="23">
        <v>83</v>
      </c>
      <c r="X388" s="24">
        <v>0</v>
      </c>
      <c r="Y388" s="20">
        <v>24</v>
      </c>
      <c r="Z388" s="19">
        <v>170</v>
      </c>
      <c r="AA388" s="23">
        <v>112</v>
      </c>
      <c r="AB388" s="24">
        <v>24</v>
      </c>
      <c r="AC388" s="23">
        <v>34</v>
      </c>
      <c r="AD388" s="24">
        <v>24</v>
      </c>
      <c r="AE388" s="23">
        <v>34</v>
      </c>
      <c r="AF388" s="24">
        <v>0</v>
      </c>
      <c r="AG388" s="23">
        <v>12</v>
      </c>
      <c r="AH388" s="24">
        <v>98</v>
      </c>
      <c r="AI388" s="23">
        <v>66</v>
      </c>
      <c r="AJ388" s="24">
        <v>93</v>
      </c>
      <c r="AK388" s="23">
        <v>62</v>
      </c>
      <c r="AL388" s="24">
        <v>5</v>
      </c>
      <c r="AM388" s="23">
        <v>7</v>
      </c>
      <c r="AN388" s="24">
        <v>48</v>
      </c>
      <c r="AO388" s="23">
        <v>33</v>
      </c>
      <c r="AP388" s="24">
        <v>48</v>
      </c>
      <c r="AQ388" s="23">
        <v>33</v>
      </c>
      <c r="AR388" s="24">
        <v>0</v>
      </c>
      <c r="AS388" s="20">
        <v>12</v>
      </c>
      <c r="AT388" s="19">
        <v>931</v>
      </c>
      <c r="AU388" s="23">
        <v>244</v>
      </c>
      <c r="AV388" s="24">
        <v>224</v>
      </c>
      <c r="AW388" s="23">
        <v>102</v>
      </c>
      <c r="AX388" s="24">
        <v>153</v>
      </c>
      <c r="AY388" s="23">
        <v>86</v>
      </c>
      <c r="AZ388" s="24">
        <v>71</v>
      </c>
      <c r="BA388" s="23">
        <v>86</v>
      </c>
      <c r="BB388" s="24">
        <v>553</v>
      </c>
      <c r="BC388" s="23">
        <v>165</v>
      </c>
      <c r="BD388" s="24">
        <v>395</v>
      </c>
      <c r="BE388" s="23">
        <v>155</v>
      </c>
      <c r="BF388" s="24">
        <v>158</v>
      </c>
      <c r="BG388" s="23">
        <v>101</v>
      </c>
      <c r="BH388" s="24">
        <v>154</v>
      </c>
      <c r="BI388" s="23">
        <v>58</v>
      </c>
      <c r="BJ388" s="24">
        <v>154</v>
      </c>
      <c r="BK388" s="23">
        <v>58</v>
      </c>
      <c r="BL388" s="24">
        <v>0</v>
      </c>
      <c r="BM388" s="20">
        <v>12</v>
      </c>
      <c r="BN388" s="19">
        <v>1901</v>
      </c>
      <c r="BO388" s="23">
        <v>318</v>
      </c>
      <c r="BP388" s="24">
        <v>362</v>
      </c>
      <c r="BQ388" s="23">
        <v>112</v>
      </c>
      <c r="BR388" s="24">
        <v>353</v>
      </c>
      <c r="BS388" s="23">
        <v>113</v>
      </c>
      <c r="BT388" s="26">
        <v>9</v>
      </c>
      <c r="BU388" s="23">
        <v>16</v>
      </c>
      <c r="BV388" s="24">
        <v>1369</v>
      </c>
      <c r="BW388" s="23">
        <v>253</v>
      </c>
      <c r="BX388" s="24">
        <v>1338</v>
      </c>
      <c r="BY388" s="23">
        <v>259</v>
      </c>
      <c r="BZ388" s="24">
        <v>31</v>
      </c>
      <c r="CA388" s="23">
        <v>32</v>
      </c>
      <c r="CB388" s="24">
        <v>170</v>
      </c>
      <c r="CC388" s="23">
        <v>65</v>
      </c>
      <c r="CD388" s="24">
        <v>170</v>
      </c>
      <c r="CE388" s="23">
        <v>65</v>
      </c>
      <c r="CF388" s="24">
        <v>0</v>
      </c>
      <c r="CG388" s="20">
        <v>12</v>
      </c>
    </row>
    <row r="389" spans="1:85" x14ac:dyDescent="0.3">
      <c r="A389" t="s">
        <v>777</v>
      </c>
      <c r="B389">
        <v>21758</v>
      </c>
      <c r="C389" t="s">
        <v>778</v>
      </c>
      <c r="D389" s="19">
        <v>4783</v>
      </c>
      <c r="E389" s="20">
        <v>556</v>
      </c>
      <c r="F389" s="19">
        <v>589</v>
      </c>
      <c r="G389" s="23">
        <v>304</v>
      </c>
      <c r="H389" s="24">
        <v>184</v>
      </c>
      <c r="I389" s="23">
        <v>138</v>
      </c>
      <c r="J389" s="24">
        <v>183</v>
      </c>
      <c r="K389" s="23">
        <v>138</v>
      </c>
      <c r="L389" s="24">
        <v>1</v>
      </c>
      <c r="M389" s="23">
        <v>14</v>
      </c>
      <c r="N389" s="24">
        <v>370</v>
      </c>
      <c r="O389" s="23">
        <v>216</v>
      </c>
      <c r="P389" s="24">
        <v>344</v>
      </c>
      <c r="Q389" s="23">
        <v>205</v>
      </c>
      <c r="R389" s="24">
        <v>26</v>
      </c>
      <c r="S389" s="23">
        <v>37</v>
      </c>
      <c r="T389" s="24">
        <v>35</v>
      </c>
      <c r="U389" s="23">
        <v>38</v>
      </c>
      <c r="V389" s="24">
        <v>19</v>
      </c>
      <c r="W389" s="23">
        <v>22</v>
      </c>
      <c r="X389" s="24">
        <v>16</v>
      </c>
      <c r="Y389" s="20">
        <v>37</v>
      </c>
      <c r="Z389" s="19">
        <v>241</v>
      </c>
      <c r="AA389" s="23">
        <v>129</v>
      </c>
      <c r="AB389" s="24">
        <v>75</v>
      </c>
      <c r="AC389" s="23">
        <v>59</v>
      </c>
      <c r="AD389" s="24">
        <v>75</v>
      </c>
      <c r="AE389" s="23">
        <v>59</v>
      </c>
      <c r="AF389" s="24">
        <v>0</v>
      </c>
      <c r="AG389" s="23">
        <v>12</v>
      </c>
      <c r="AH389" s="24">
        <v>114</v>
      </c>
      <c r="AI389" s="23">
        <v>82</v>
      </c>
      <c r="AJ389" s="24">
        <v>106</v>
      </c>
      <c r="AK389" s="23">
        <v>81</v>
      </c>
      <c r="AL389" s="24">
        <v>8</v>
      </c>
      <c r="AM389" s="23">
        <v>10</v>
      </c>
      <c r="AN389" s="24">
        <v>52</v>
      </c>
      <c r="AO389" s="23">
        <v>39</v>
      </c>
      <c r="AP389" s="24">
        <v>52</v>
      </c>
      <c r="AQ389" s="23">
        <v>39</v>
      </c>
      <c r="AR389" s="24">
        <v>0</v>
      </c>
      <c r="AS389" s="20">
        <v>12</v>
      </c>
      <c r="AT389" s="19">
        <v>1509</v>
      </c>
      <c r="AU389" s="23">
        <v>451</v>
      </c>
      <c r="AV389" s="24">
        <v>473</v>
      </c>
      <c r="AW389" s="23">
        <v>201</v>
      </c>
      <c r="AX389" s="24">
        <v>473</v>
      </c>
      <c r="AY389" s="23">
        <v>201</v>
      </c>
      <c r="AZ389" s="24">
        <v>0</v>
      </c>
      <c r="BA389" s="23">
        <v>12</v>
      </c>
      <c r="BB389" s="24">
        <v>773</v>
      </c>
      <c r="BC389" s="23">
        <v>266</v>
      </c>
      <c r="BD389" s="24">
        <v>757</v>
      </c>
      <c r="BE389" s="23">
        <v>266</v>
      </c>
      <c r="BF389" s="24">
        <v>16</v>
      </c>
      <c r="BG389" s="23">
        <v>22</v>
      </c>
      <c r="BH389" s="24">
        <v>263</v>
      </c>
      <c r="BI389" s="23">
        <v>103</v>
      </c>
      <c r="BJ389" s="24">
        <v>263</v>
      </c>
      <c r="BK389" s="23">
        <v>103</v>
      </c>
      <c r="BL389" s="24">
        <v>0</v>
      </c>
      <c r="BM389" s="20">
        <v>12</v>
      </c>
      <c r="BN389" s="19">
        <v>2444</v>
      </c>
      <c r="BO389" s="23">
        <v>385</v>
      </c>
      <c r="BP389" s="24">
        <v>424</v>
      </c>
      <c r="BQ389" s="23">
        <v>136</v>
      </c>
      <c r="BR389" s="24">
        <v>424</v>
      </c>
      <c r="BS389" s="23">
        <v>136</v>
      </c>
      <c r="BT389" s="26">
        <v>0</v>
      </c>
      <c r="BU389" s="23">
        <v>12</v>
      </c>
      <c r="BV389" s="24">
        <v>1595</v>
      </c>
      <c r="BW389" s="23">
        <v>266</v>
      </c>
      <c r="BX389" s="24">
        <v>1508</v>
      </c>
      <c r="BY389" s="23">
        <v>272</v>
      </c>
      <c r="BZ389" s="24">
        <v>87</v>
      </c>
      <c r="CA389" s="23">
        <v>67</v>
      </c>
      <c r="CB389" s="24">
        <v>425</v>
      </c>
      <c r="CC389" s="23">
        <v>129</v>
      </c>
      <c r="CD389" s="24">
        <v>425</v>
      </c>
      <c r="CE389" s="23">
        <v>129</v>
      </c>
      <c r="CF389" s="24">
        <v>0</v>
      </c>
      <c r="CG389" s="20">
        <v>12</v>
      </c>
    </row>
    <row r="390" spans="1:85" x14ac:dyDescent="0.3">
      <c r="A390" t="s">
        <v>779</v>
      </c>
      <c r="B390">
        <v>21762</v>
      </c>
      <c r="C390" t="s">
        <v>780</v>
      </c>
      <c r="D390" s="19">
        <v>263</v>
      </c>
      <c r="E390" s="20">
        <v>199</v>
      </c>
      <c r="F390" s="19">
        <v>9</v>
      </c>
      <c r="G390" s="23">
        <v>27</v>
      </c>
      <c r="H390" s="24">
        <v>0</v>
      </c>
      <c r="I390" s="23">
        <v>24</v>
      </c>
      <c r="J390" s="24">
        <v>0</v>
      </c>
      <c r="K390" s="23">
        <v>24</v>
      </c>
      <c r="L390" s="24">
        <v>0</v>
      </c>
      <c r="M390" s="23">
        <v>24</v>
      </c>
      <c r="N390" s="24">
        <v>9</v>
      </c>
      <c r="O390" s="23">
        <v>27</v>
      </c>
      <c r="P390" s="24">
        <v>9</v>
      </c>
      <c r="Q390" s="23">
        <v>27</v>
      </c>
      <c r="R390" s="24">
        <v>0</v>
      </c>
      <c r="S390" s="23">
        <v>24</v>
      </c>
      <c r="T390" s="24">
        <v>0</v>
      </c>
      <c r="U390" s="23">
        <v>24</v>
      </c>
      <c r="V390" s="24">
        <v>0</v>
      </c>
      <c r="W390" s="23">
        <v>24</v>
      </c>
      <c r="X390" s="24">
        <v>0</v>
      </c>
      <c r="Y390" s="20">
        <v>24</v>
      </c>
      <c r="Z390" s="19">
        <v>10</v>
      </c>
      <c r="AA390" s="23">
        <v>15</v>
      </c>
      <c r="AB390" s="24">
        <v>0</v>
      </c>
      <c r="AC390" s="23">
        <v>12</v>
      </c>
      <c r="AD390" s="24">
        <v>0</v>
      </c>
      <c r="AE390" s="23">
        <v>12</v>
      </c>
      <c r="AF390" s="24">
        <v>0</v>
      </c>
      <c r="AG390" s="23">
        <v>12</v>
      </c>
      <c r="AH390" s="24">
        <v>0</v>
      </c>
      <c r="AI390" s="23">
        <v>12</v>
      </c>
      <c r="AJ390" s="24">
        <v>0</v>
      </c>
      <c r="AK390" s="23">
        <v>12</v>
      </c>
      <c r="AL390" s="24">
        <v>0</v>
      </c>
      <c r="AM390" s="23">
        <v>12</v>
      </c>
      <c r="AN390" s="24">
        <v>10</v>
      </c>
      <c r="AO390" s="23">
        <v>15</v>
      </c>
      <c r="AP390" s="24">
        <v>10</v>
      </c>
      <c r="AQ390" s="23">
        <v>15</v>
      </c>
      <c r="AR390" s="24">
        <v>0</v>
      </c>
      <c r="AS390" s="20">
        <v>12</v>
      </c>
      <c r="AT390" s="19">
        <v>52</v>
      </c>
      <c r="AU390" s="23">
        <v>57</v>
      </c>
      <c r="AV390" s="24">
        <v>0</v>
      </c>
      <c r="AW390" s="23">
        <v>12</v>
      </c>
      <c r="AX390" s="24">
        <v>0</v>
      </c>
      <c r="AY390" s="23">
        <v>12</v>
      </c>
      <c r="AZ390" s="24">
        <v>0</v>
      </c>
      <c r="BA390" s="23">
        <v>12</v>
      </c>
      <c r="BB390" s="24">
        <v>36</v>
      </c>
      <c r="BC390" s="23">
        <v>52</v>
      </c>
      <c r="BD390" s="24">
        <v>36</v>
      </c>
      <c r="BE390" s="23">
        <v>52</v>
      </c>
      <c r="BF390" s="24">
        <v>0</v>
      </c>
      <c r="BG390" s="23">
        <v>12</v>
      </c>
      <c r="BH390" s="24">
        <v>16</v>
      </c>
      <c r="BI390" s="23">
        <v>24</v>
      </c>
      <c r="BJ390" s="24">
        <v>16</v>
      </c>
      <c r="BK390" s="23">
        <v>24</v>
      </c>
      <c r="BL390" s="24">
        <v>0</v>
      </c>
      <c r="BM390" s="20">
        <v>12</v>
      </c>
      <c r="BN390" s="19">
        <v>192</v>
      </c>
      <c r="BO390" s="23">
        <v>172</v>
      </c>
      <c r="BP390" s="24">
        <v>0</v>
      </c>
      <c r="BQ390" s="23">
        <v>12</v>
      </c>
      <c r="BR390" s="24">
        <v>0</v>
      </c>
      <c r="BS390" s="23">
        <v>12</v>
      </c>
      <c r="BT390" s="26">
        <v>0</v>
      </c>
      <c r="BU390" s="23">
        <v>12</v>
      </c>
      <c r="BV390" s="24">
        <v>192</v>
      </c>
      <c r="BW390" s="23">
        <v>172</v>
      </c>
      <c r="BX390" s="24">
        <v>192</v>
      </c>
      <c r="BY390" s="23">
        <v>172</v>
      </c>
      <c r="BZ390" s="24">
        <v>0</v>
      </c>
      <c r="CA390" s="23">
        <v>12</v>
      </c>
      <c r="CB390" s="24">
        <v>0</v>
      </c>
      <c r="CC390" s="23">
        <v>12</v>
      </c>
      <c r="CD390" s="24">
        <v>0</v>
      </c>
      <c r="CE390" s="23">
        <v>12</v>
      </c>
      <c r="CF390" s="24">
        <v>0</v>
      </c>
      <c r="CG390" s="20">
        <v>12</v>
      </c>
    </row>
    <row r="391" spans="1:85" x14ac:dyDescent="0.3">
      <c r="A391" t="s">
        <v>781</v>
      </c>
      <c r="B391">
        <v>21766</v>
      </c>
      <c r="C391" t="s">
        <v>782</v>
      </c>
      <c r="D391" s="19">
        <v>506</v>
      </c>
      <c r="E391" s="20">
        <v>246</v>
      </c>
      <c r="F391" s="19">
        <v>14</v>
      </c>
      <c r="G391" s="23">
        <v>28</v>
      </c>
      <c r="H391" s="24">
        <v>0</v>
      </c>
      <c r="I391" s="23">
        <v>24</v>
      </c>
      <c r="J391" s="24">
        <v>0</v>
      </c>
      <c r="K391" s="23">
        <v>24</v>
      </c>
      <c r="L391" s="24">
        <v>0</v>
      </c>
      <c r="M391" s="23">
        <v>24</v>
      </c>
      <c r="N391" s="24">
        <v>7</v>
      </c>
      <c r="O391" s="23">
        <v>22</v>
      </c>
      <c r="P391" s="24">
        <v>7</v>
      </c>
      <c r="Q391" s="23">
        <v>22</v>
      </c>
      <c r="R391" s="24">
        <v>0</v>
      </c>
      <c r="S391" s="23">
        <v>24</v>
      </c>
      <c r="T391" s="24">
        <v>7</v>
      </c>
      <c r="U391" s="23">
        <v>24</v>
      </c>
      <c r="V391" s="24">
        <v>7</v>
      </c>
      <c r="W391" s="23">
        <v>24</v>
      </c>
      <c r="X391" s="24">
        <v>0</v>
      </c>
      <c r="Y391" s="20">
        <v>24</v>
      </c>
      <c r="Z391" s="19">
        <v>85</v>
      </c>
      <c r="AA391" s="23">
        <v>57</v>
      </c>
      <c r="AB391" s="24">
        <v>0</v>
      </c>
      <c r="AC391" s="23">
        <v>12</v>
      </c>
      <c r="AD391" s="24">
        <v>0</v>
      </c>
      <c r="AE391" s="23">
        <v>12</v>
      </c>
      <c r="AF391" s="24">
        <v>0</v>
      </c>
      <c r="AG391" s="23">
        <v>12</v>
      </c>
      <c r="AH391" s="24">
        <v>45</v>
      </c>
      <c r="AI391" s="23">
        <v>41</v>
      </c>
      <c r="AJ391" s="24">
        <v>36</v>
      </c>
      <c r="AK391" s="23">
        <v>31</v>
      </c>
      <c r="AL391" s="24">
        <v>9</v>
      </c>
      <c r="AM391" s="23">
        <v>16</v>
      </c>
      <c r="AN391" s="24">
        <v>40</v>
      </c>
      <c r="AO391" s="23">
        <v>38</v>
      </c>
      <c r="AP391" s="24">
        <v>40</v>
      </c>
      <c r="AQ391" s="23">
        <v>38</v>
      </c>
      <c r="AR391" s="24">
        <v>0</v>
      </c>
      <c r="AS391" s="20">
        <v>12</v>
      </c>
      <c r="AT391" s="19">
        <v>271</v>
      </c>
      <c r="AU391" s="23">
        <v>225</v>
      </c>
      <c r="AV391" s="24">
        <v>86</v>
      </c>
      <c r="AW391" s="23">
        <v>111</v>
      </c>
      <c r="AX391" s="24">
        <v>86</v>
      </c>
      <c r="AY391" s="23">
        <v>111</v>
      </c>
      <c r="AZ391" s="24">
        <v>0</v>
      </c>
      <c r="BA391" s="23">
        <v>12</v>
      </c>
      <c r="BB391" s="24">
        <v>131</v>
      </c>
      <c r="BC391" s="23">
        <v>112</v>
      </c>
      <c r="BD391" s="24">
        <v>120</v>
      </c>
      <c r="BE391" s="23">
        <v>111</v>
      </c>
      <c r="BF391" s="24">
        <v>11</v>
      </c>
      <c r="BG391" s="23">
        <v>16</v>
      </c>
      <c r="BH391" s="24">
        <v>54</v>
      </c>
      <c r="BI391" s="23">
        <v>44</v>
      </c>
      <c r="BJ391" s="24">
        <v>54</v>
      </c>
      <c r="BK391" s="23">
        <v>44</v>
      </c>
      <c r="BL391" s="24">
        <v>0</v>
      </c>
      <c r="BM391" s="20">
        <v>12</v>
      </c>
      <c r="BN391" s="19">
        <v>136</v>
      </c>
      <c r="BO391" s="23">
        <v>98</v>
      </c>
      <c r="BP391" s="24">
        <v>22</v>
      </c>
      <c r="BQ391" s="23">
        <v>26</v>
      </c>
      <c r="BR391" s="24">
        <v>22</v>
      </c>
      <c r="BS391" s="23">
        <v>26</v>
      </c>
      <c r="BT391" s="26">
        <v>0</v>
      </c>
      <c r="BU391" s="23">
        <v>12</v>
      </c>
      <c r="BV391" s="24">
        <v>82</v>
      </c>
      <c r="BW391" s="23">
        <v>79</v>
      </c>
      <c r="BX391" s="24">
        <v>75</v>
      </c>
      <c r="BY391" s="23">
        <v>77</v>
      </c>
      <c r="BZ391" s="24">
        <v>7</v>
      </c>
      <c r="CA391" s="23">
        <v>12</v>
      </c>
      <c r="CB391" s="24">
        <v>32</v>
      </c>
      <c r="CC391" s="23">
        <v>30</v>
      </c>
      <c r="CD391" s="24">
        <v>32</v>
      </c>
      <c r="CE391" s="23">
        <v>30</v>
      </c>
      <c r="CF391" s="24">
        <v>0</v>
      </c>
      <c r="CG391" s="20">
        <v>12</v>
      </c>
    </row>
    <row r="392" spans="1:85" x14ac:dyDescent="0.3">
      <c r="A392" t="s">
        <v>783</v>
      </c>
      <c r="B392">
        <v>21767</v>
      </c>
      <c r="C392" t="s">
        <v>784</v>
      </c>
      <c r="D392" s="19">
        <v>1149</v>
      </c>
      <c r="E392" s="20">
        <v>421</v>
      </c>
      <c r="F392" s="19">
        <v>184</v>
      </c>
      <c r="G392" s="23">
        <v>220</v>
      </c>
      <c r="H392" s="24">
        <v>36</v>
      </c>
      <c r="I392" s="23">
        <v>53</v>
      </c>
      <c r="J392" s="24">
        <v>36</v>
      </c>
      <c r="K392" s="23">
        <v>53</v>
      </c>
      <c r="L392" s="24">
        <v>0</v>
      </c>
      <c r="M392" s="23">
        <v>24</v>
      </c>
      <c r="N392" s="24">
        <v>109</v>
      </c>
      <c r="O392" s="23">
        <v>124</v>
      </c>
      <c r="P392" s="24">
        <v>67</v>
      </c>
      <c r="Q392" s="23">
        <v>71</v>
      </c>
      <c r="R392" s="24">
        <v>42</v>
      </c>
      <c r="S392" s="23">
        <v>77</v>
      </c>
      <c r="T392" s="24">
        <v>39</v>
      </c>
      <c r="U392" s="23">
        <v>72</v>
      </c>
      <c r="V392" s="24">
        <v>39</v>
      </c>
      <c r="W392" s="23">
        <v>72</v>
      </c>
      <c r="X392" s="24">
        <v>0</v>
      </c>
      <c r="Y392" s="20">
        <v>24</v>
      </c>
      <c r="Z392" s="19">
        <v>205</v>
      </c>
      <c r="AA392" s="23">
        <v>241</v>
      </c>
      <c r="AB392" s="24">
        <v>91</v>
      </c>
      <c r="AC392" s="23">
        <v>147</v>
      </c>
      <c r="AD392" s="24">
        <v>91</v>
      </c>
      <c r="AE392" s="23">
        <v>147</v>
      </c>
      <c r="AF392" s="24">
        <v>0</v>
      </c>
      <c r="AG392" s="23">
        <v>12</v>
      </c>
      <c r="AH392" s="24">
        <v>53</v>
      </c>
      <c r="AI392" s="23">
        <v>88</v>
      </c>
      <c r="AJ392" s="24">
        <v>53</v>
      </c>
      <c r="AK392" s="23">
        <v>88</v>
      </c>
      <c r="AL392" s="24">
        <v>0</v>
      </c>
      <c r="AM392" s="23">
        <v>12</v>
      </c>
      <c r="AN392" s="24">
        <v>61</v>
      </c>
      <c r="AO392" s="23">
        <v>60</v>
      </c>
      <c r="AP392" s="24">
        <v>61</v>
      </c>
      <c r="AQ392" s="23">
        <v>60</v>
      </c>
      <c r="AR392" s="24">
        <v>0</v>
      </c>
      <c r="AS392" s="20">
        <v>12</v>
      </c>
      <c r="AT392" s="19">
        <v>600</v>
      </c>
      <c r="AU392" s="23">
        <v>328</v>
      </c>
      <c r="AV392" s="24">
        <v>185</v>
      </c>
      <c r="AW392" s="23">
        <v>164</v>
      </c>
      <c r="AX392" s="24">
        <v>185</v>
      </c>
      <c r="AY392" s="23">
        <v>164</v>
      </c>
      <c r="AZ392" s="24">
        <v>0</v>
      </c>
      <c r="BA392" s="23">
        <v>12</v>
      </c>
      <c r="BB392" s="24">
        <v>355</v>
      </c>
      <c r="BC392" s="23">
        <v>234</v>
      </c>
      <c r="BD392" s="24">
        <v>344</v>
      </c>
      <c r="BE392" s="23">
        <v>234</v>
      </c>
      <c r="BF392" s="24">
        <v>11</v>
      </c>
      <c r="BG392" s="23">
        <v>17</v>
      </c>
      <c r="BH392" s="24">
        <v>60</v>
      </c>
      <c r="BI392" s="23">
        <v>46</v>
      </c>
      <c r="BJ392" s="24">
        <v>60</v>
      </c>
      <c r="BK392" s="23">
        <v>46</v>
      </c>
      <c r="BL392" s="24">
        <v>0</v>
      </c>
      <c r="BM392" s="20">
        <v>12</v>
      </c>
      <c r="BN392" s="19">
        <v>160</v>
      </c>
      <c r="BO392" s="23">
        <v>121</v>
      </c>
      <c r="BP392" s="24">
        <v>0</v>
      </c>
      <c r="BQ392" s="23">
        <v>12</v>
      </c>
      <c r="BR392" s="24">
        <v>0</v>
      </c>
      <c r="BS392" s="23">
        <v>12</v>
      </c>
      <c r="BT392" s="26">
        <v>0</v>
      </c>
      <c r="BU392" s="23">
        <v>12</v>
      </c>
      <c r="BV392" s="24">
        <v>99</v>
      </c>
      <c r="BW392" s="23">
        <v>98</v>
      </c>
      <c r="BX392" s="24">
        <v>99</v>
      </c>
      <c r="BY392" s="23">
        <v>98</v>
      </c>
      <c r="BZ392" s="24">
        <v>0</v>
      </c>
      <c r="CA392" s="23">
        <v>12</v>
      </c>
      <c r="CB392" s="24">
        <v>61</v>
      </c>
      <c r="CC392" s="23">
        <v>58</v>
      </c>
      <c r="CD392" s="24">
        <v>61</v>
      </c>
      <c r="CE392" s="23">
        <v>58</v>
      </c>
      <c r="CF392" s="24">
        <v>0</v>
      </c>
      <c r="CG392" s="20">
        <v>12</v>
      </c>
    </row>
    <row r="393" spans="1:85" x14ac:dyDescent="0.3">
      <c r="A393" t="s">
        <v>785</v>
      </c>
      <c r="B393">
        <v>21769</v>
      </c>
      <c r="C393" t="s">
        <v>786</v>
      </c>
      <c r="D393" s="19">
        <v>11286</v>
      </c>
      <c r="E393" s="20">
        <v>446</v>
      </c>
      <c r="F393" s="19">
        <v>471</v>
      </c>
      <c r="G393" s="23">
        <v>232</v>
      </c>
      <c r="H393" s="24">
        <v>176</v>
      </c>
      <c r="I393" s="23">
        <v>129</v>
      </c>
      <c r="J393" s="24">
        <v>142</v>
      </c>
      <c r="K393" s="23">
        <v>111</v>
      </c>
      <c r="L393" s="24">
        <v>34</v>
      </c>
      <c r="M393" s="23">
        <v>52</v>
      </c>
      <c r="N393" s="24">
        <v>167</v>
      </c>
      <c r="O393" s="23">
        <v>96</v>
      </c>
      <c r="P393" s="24">
        <v>148</v>
      </c>
      <c r="Q393" s="23">
        <v>93</v>
      </c>
      <c r="R393" s="24">
        <v>19</v>
      </c>
      <c r="S393" s="23">
        <v>41</v>
      </c>
      <c r="T393" s="24">
        <v>128</v>
      </c>
      <c r="U393" s="23">
        <v>79</v>
      </c>
      <c r="V393" s="24">
        <v>128</v>
      </c>
      <c r="W393" s="23">
        <v>79</v>
      </c>
      <c r="X393" s="24">
        <v>0</v>
      </c>
      <c r="Y393" s="20">
        <v>38</v>
      </c>
      <c r="Z393" s="19">
        <v>585</v>
      </c>
      <c r="AA393" s="23">
        <v>235</v>
      </c>
      <c r="AB393" s="24">
        <v>159</v>
      </c>
      <c r="AC393" s="23">
        <v>101</v>
      </c>
      <c r="AD393" s="24">
        <v>159</v>
      </c>
      <c r="AE393" s="23">
        <v>101</v>
      </c>
      <c r="AF393" s="24">
        <v>0</v>
      </c>
      <c r="AG393" s="23">
        <v>19</v>
      </c>
      <c r="AH393" s="24">
        <v>312</v>
      </c>
      <c r="AI393" s="23">
        <v>135</v>
      </c>
      <c r="AJ393" s="24">
        <v>279</v>
      </c>
      <c r="AK393" s="23">
        <v>132</v>
      </c>
      <c r="AL393" s="24">
        <v>33</v>
      </c>
      <c r="AM393" s="23">
        <v>26</v>
      </c>
      <c r="AN393" s="24">
        <v>114</v>
      </c>
      <c r="AO393" s="23">
        <v>75</v>
      </c>
      <c r="AP393" s="24">
        <v>114</v>
      </c>
      <c r="AQ393" s="23">
        <v>75</v>
      </c>
      <c r="AR393" s="24">
        <v>0</v>
      </c>
      <c r="AS393" s="20">
        <v>19</v>
      </c>
      <c r="AT393" s="19">
        <v>2196</v>
      </c>
      <c r="AU393" s="23">
        <v>430</v>
      </c>
      <c r="AV393" s="24">
        <v>685</v>
      </c>
      <c r="AW393" s="23">
        <v>215</v>
      </c>
      <c r="AX393" s="24">
        <v>658</v>
      </c>
      <c r="AY393" s="23">
        <v>213</v>
      </c>
      <c r="AZ393" s="24">
        <v>27</v>
      </c>
      <c r="BA393" s="23">
        <v>31</v>
      </c>
      <c r="BB393" s="24">
        <v>1187</v>
      </c>
      <c r="BC393" s="23">
        <v>241</v>
      </c>
      <c r="BD393" s="24">
        <v>1093</v>
      </c>
      <c r="BE393" s="23">
        <v>227</v>
      </c>
      <c r="BF393" s="24">
        <v>94</v>
      </c>
      <c r="BG393" s="23">
        <v>68</v>
      </c>
      <c r="BH393" s="24">
        <v>324</v>
      </c>
      <c r="BI393" s="23">
        <v>87</v>
      </c>
      <c r="BJ393" s="24">
        <v>324</v>
      </c>
      <c r="BK393" s="23">
        <v>87</v>
      </c>
      <c r="BL393" s="24">
        <v>0</v>
      </c>
      <c r="BM393" s="20">
        <v>19</v>
      </c>
      <c r="BN393" s="19">
        <v>8034</v>
      </c>
      <c r="BO393" s="23">
        <v>542</v>
      </c>
      <c r="BP393" s="24">
        <v>1840</v>
      </c>
      <c r="BQ393" s="23">
        <v>207</v>
      </c>
      <c r="BR393" s="24">
        <v>1832</v>
      </c>
      <c r="BS393" s="23">
        <v>207</v>
      </c>
      <c r="BT393" s="26">
        <v>8</v>
      </c>
      <c r="BU393" s="23">
        <v>12</v>
      </c>
      <c r="BV393" s="24">
        <v>5154</v>
      </c>
      <c r="BW393" s="23">
        <v>403</v>
      </c>
      <c r="BX393" s="24">
        <v>5100</v>
      </c>
      <c r="BY393" s="23">
        <v>405</v>
      </c>
      <c r="BZ393" s="24">
        <v>54</v>
      </c>
      <c r="CA393" s="23">
        <v>39</v>
      </c>
      <c r="CB393" s="24">
        <v>1040</v>
      </c>
      <c r="CC393" s="23">
        <v>137</v>
      </c>
      <c r="CD393" s="24">
        <v>1020</v>
      </c>
      <c r="CE393" s="23">
        <v>141</v>
      </c>
      <c r="CF393" s="24">
        <v>20</v>
      </c>
      <c r="CG393" s="20">
        <v>29</v>
      </c>
    </row>
    <row r="394" spans="1:85" x14ac:dyDescent="0.3">
      <c r="A394" t="s">
        <v>787</v>
      </c>
      <c r="B394">
        <v>21770</v>
      </c>
      <c r="C394" t="s">
        <v>788</v>
      </c>
      <c r="D394" s="19">
        <v>5021</v>
      </c>
      <c r="E394" s="20">
        <v>407</v>
      </c>
      <c r="F394" s="19">
        <v>121</v>
      </c>
      <c r="G394" s="23">
        <v>109</v>
      </c>
      <c r="H394" s="24">
        <v>6</v>
      </c>
      <c r="I394" s="23">
        <v>28</v>
      </c>
      <c r="J394" s="24">
        <v>6</v>
      </c>
      <c r="K394" s="23">
        <v>28</v>
      </c>
      <c r="L394" s="24">
        <v>0</v>
      </c>
      <c r="M394" s="23">
        <v>34</v>
      </c>
      <c r="N394" s="24">
        <v>71</v>
      </c>
      <c r="O394" s="23">
        <v>77</v>
      </c>
      <c r="P394" s="24">
        <v>64</v>
      </c>
      <c r="Q394" s="23">
        <v>72</v>
      </c>
      <c r="R394" s="24">
        <v>7</v>
      </c>
      <c r="S394" s="23">
        <v>28</v>
      </c>
      <c r="T394" s="24">
        <v>44</v>
      </c>
      <c r="U394" s="23">
        <v>74</v>
      </c>
      <c r="V394" s="24">
        <v>44</v>
      </c>
      <c r="W394" s="23">
        <v>74</v>
      </c>
      <c r="X394" s="24">
        <v>0</v>
      </c>
      <c r="Y394" s="20">
        <v>34</v>
      </c>
      <c r="Z394" s="19">
        <v>127</v>
      </c>
      <c r="AA394" s="23">
        <v>83</v>
      </c>
      <c r="AB394" s="24">
        <v>15</v>
      </c>
      <c r="AC394" s="23">
        <v>15</v>
      </c>
      <c r="AD394" s="24">
        <v>15</v>
      </c>
      <c r="AE394" s="23">
        <v>15</v>
      </c>
      <c r="AF394" s="24">
        <v>0</v>
      </c>
      <c r="AG394" s="23">
        <v>17</v>
      </c>
      <c r="AH394" s="24">
        <v>42</v>
      </c>
      <c r="AI394" s="23">
        <v>45</v>
      </c>
      <c r="AJ394" s="24">
        <v>42</v>
      </c>
      <c r="AK394" s="23">
        <v>45</v>
      </c>
      <c r="AL394" s="24">
        <v>0</v>
      </c>
      <c r="AM394" s="23">
        <v>17</v>
      </c>
      <c r="AN394" s="24">
        <v>70</v>
      </c>
      <c r="AO394" s="23">
        <v>64</v>
      </c>
      <c r="AP394" s="24">
        <v>70</v>
      </c>
      <c r="AQ394" s="23">
        <v>64</v>
      </c>
      <c r="AR394" s="24">
        <v>0</v>
      </c>
      <c r="AS394" s="20">
        <v>17</v>
      </c>
      <c r="AT394" s="19">
        <v>1104</v>
      </c>
      <c r="AU394" s="23">
        <v>331</v>
      </c>
      <c r="AV394" s="24">
        <v>347</v>
      </c>
      <c r="AW394" s="23">
        <v>172</v>
      </c>
      <c r="AX394" s="24">
        <v>296</v>
      </c>
      <c r="AY394" s="23">
        <v>168</v>
      </c>
      <c r="AZ394" s="24">
        <v>51</v>
      </c>
      <c r="BA394" s="23">
        <v>66</v>
      </c>
      <c r="BB394" s="24">
        <v>588</v>
      </c>
      <c r="BC394" s="23">
        <v>182</v>
      </c>
      <c r="BD394" s="24">
        <v>473</v>
      </c>
      <c r="BE394" s="23">
        <v>171</v>
      </c>
      <c r="BF394" s="24">
        <v>115</v>
      </c>
      <c r="BG394" s="23">
        <v>89</v>
      </c>
      <c r="BH394" s="24">
        <v>169</v>
      </c>
      <c r="BI394" s="23">
        <v>75</v>
      </c>
      <c r="BJ394" s="24">
        <v>169</v>
      </c>
      <c r="BK394" s="23">
        <v>75</v>
      </c>
      <c r="BL394" s="24">
        <v>0</v>
      </c>
      <c r="BM394" s="20">
        <v>17</v>
      </c>
      <c r="BN394" s="19">
        <v>3669</v>
      </c>
      <c r="BO394" s="23">
        <v>463</v>
      </c>
      <c r="BP394" s="24">
        <v>773</v>
      </c>
      <c r="BQ394" s="23">
        <v>167</v>
      </c>
      <c r="BR394" s="24">
        <v>773</v>
      </c>
      <c r="BS394" s="23">
        <v>167</v>
      </c>
      <c r="BT394" s="26">
        <v>0</v>
      </c>
      <c r="BU394" s="23">
        <v>17</v>
      </c>
      <c r="BV394" s="24">
        <v>2426</v>
      </c>
      <c r="BW394" s="23">
        <v>320</v>
      </c>
      <c r="BX394" s="24">
        <v>2426</v>
      </c>
      <c r="BY394" s="23">
        <v>320</v>
      </c>
      <c r="BZ394" s="24">
        <v>0</v>
      </c>
      <c r="CA394" s="23">
        <v>17</v>
      </c>
      <c r="CB394" s="24">
        <v>470</v>
      </c>
      <c r="CC394" s="23">
        <v>138</v>
      </c>
      <c r="CD394" s="24">
        <v>470</v>
      </c>
      <c r="CE394" s="23">
        <v>138</v>
      </c>
      <c r="CF394" s="24">
        <v>0</v>
      </c>
      <c r="CG394" s="20">
        <v>17</v>
      </c>
    </row>
    <row r="395" spans="1:85" x14ac:dyDescent="0.3">
      <c r="A395" t="s">
        <v>789</v>
      </c>
      <c r="B395">
        <v>21771</v>
      </c>
      <c r="C395" t="s">
        <v>790</v>
      </c>
      <c r="D395" s="19">
        <v>29162</v>
      </c>
      <c r="E395" s="20">
        <v>1082</v>
      </c>
      <c r="F395" s="19">
        <v>1522</v>
      </c>
      <c r="G395" s="23">
        <v>517</v>
      </c>
      <c r="H395" s="24">
        <v>445</v>
      </c>
      <c r="I395" s="23">
        <v>275</v>
      </c>
      <c r="J395" s="24">
        <v>424</v>
      </c>
      <c r="K395" s="23">
        <v>270</v>
      </c>
      <c r="L395" s="24">
        <v>21</v>
      </c>
      <c r="M395" s="23">
        <v>50</v>
      </c>
      <c r="N395" s="24">
        <v>929</v>
      </c>
      <c r="O395" s="23">
        <v>298</v>
      </c>
      <c r="P395" s="24">
        <v>762</v>
      </c>
      <c r="Q395" s="23">
        <v>283</v>
      </c>
      <c r="R395" s="24">
        <v>167</v>
      </c>
      <c r="S395" s="23">
        <v>113</v>
      </c>
      <c r="T395" s="24">
        <v>148</v>
      </c>
      <c r="U395" s="23">
        <v>82</v>
      </c>
      <c r="V395" s="24">
        <v>142</v>
      </c>
      <c r="W395" s="23">
        <v>80</v>
      </c>
      <c r="X395" s="24">
        <v>6</v>
      </c>
      <c r="Y395" s="20">
        <v>31</v>
      </c>
      <c r="Z395" s="19">
        <v>1039</v>
      </c>
      <c r="AA395" s="23">
        <v>327</v>
      </c>
      <c r="AB395" s="24">
        <v>256</v>
      </c>
      <c r="AC395" s="23">
        <v>129</v>
      </c>
      <c r="AD395" s="24">
        <v>248</v>
      </c>
      <c r="AE395" s="23">
        <v>126</v>
      </c>
      <c r="AF395" s="24">
        <v>8</v>
      </c>
      <c r="AG395" s="23">
        <v>14</v>
      </c>
      <c r="AH395" s="24">
        <v>513</v>
      </c>
      <c r="AI395" s="23">
        <v>188</v>
      </c>
      <c r="AJ395" s="24">
        <v>401</v>
      </c>
      <c r="AK395" s="23">
        <v>158</v>
      </c>
      <c r="AL395" s="24">
        <v>112</v>
      </c>
      <c r="AM395" s="23">
        <v>73</v>
      </c>
      <c r="AN395" s="24">
        <v>270</v>
      </c>
      <c r="AO395" s="23">
        <v>127</v>
      </c>
      <c r="AP395" s="24">
        <v>270</v>
      </c>
      <c r="AQ395" s="23">
        <v>127</v>
      </c>
      <c r="AR395" s="24">
        <v>0</v>
      </c>
      <c r="AS395" s="20">
        <v>22</v>
      </c>
      <c r="AT395" s="19">
        <v>5312</v>
      </c>
      <c r="AU395" s="23">
        <v>746</v>
      </c>
      <c r="AV395" s="24">
        <v>1236</v>
      </c>
      <c r="AW395" s="23">
        <v>276</v>
      </c>
      <c r="AX395" s="24">
        <v>1180</v>
      </c>
      <c r="AY395" s="23">
        <v>264</v>
      </c>
      <c r="AZ395" s="24">
        <v>56</v>
      </c>
      <c r="BA395" s="23">
        <v>44</v>
      </c>
      <c r="BB395" s="24">
        <v>3002</v>
      </c>
      <c r="BC395" s="23">
        <v>468</v>
      </c>
      <c r="BD395" s="24">
        <v>2754</v>
      </c>
      <c r="BE395" s="23">
        <v>430</v>
      </c>
      <c r="BF395" s="24">
        <v>248</v>
      </c>
      <c r="BG395" s="23">
        <v>106</v>
      </c>
      <c r="BH395" s="24">
        <v>1074</v>
      </c>
      <c r="BI395" s="23">
        <v>179</v>
      </c>
      <c r="BJ395" s="24">
        <v>1074</v>
      </c>
      <c r="BK395" s="23">
        <v>179</v>
      </c>
      <c r="BL395" s="24">
        <v>0</v>
      </c>
      <c r="BM395" s="20">
        <v>22</v>
      </c>
      <c r="BN395" s="19">
        <v>21289</v>
      </c>
      <c r="BO395" s="23">
        <v>1242</v>
      </c>
      <c r="BP395" s="24">
        <v>5404</v>
      </c>
      <c r="BQ395" s="23">
        <v>560</v>
      </c>
      <c r="BR395" s="24">
        <v>5343</v>
      </c>
      <c r="BS395" s="23">
        <v>559</v>
      </c>
      <c r="BT395" s="26">
        <v>61</v>
      </c>
      <c r="BU395" s="23">
        <v>42</v>
      </c>
      <c r="BV395" s="24">
        <v>13555</v>
      </c>
      <c r="BW395" s="23">
        <v>769</v>
      </c>
      <c r="BX395" s="24">
        <v>13194</v>
      </c>
      <c r="BY395" s="23">
        <v>745</v>
      </c>
      <c r="BZ395" s="24">
        <v>361</v>
      </c>
      <c r="CA395" s="23">
        <v>130</v>
      </c>
      <c r="CB395" s="24">
        <v>2330</v>
      </c>
      <c r="CC395" s="23">
        <v>260</v>
      </c>
      <c r="CD395" s="24">
        <v>2330</v>
      </c>
      <c r="CE395" s="23">
        <v>260</v>
      </c>
      <c r="CF395" s="24">
        <v>0</v>
      </c>
      <c r="CG395" s="20">
        <v>22</v>
      </c>
    </row>
    <row r="396" spans="1:85" x14ac:dyDescent="0.3">
      <c r="A396" t="s">
        <v>791</v>
      </c>
      <c r="B396">
        <v>21773</v>
      </c>
      <c r="C396" t="s">
        <v>792</v>
      </c>
      <c r="D396" s="19">
        <v>5569</v>
      </c>
      <c r="E396" s="20">
        <v>364</v>
      </c>
      <c r="F396" s="19">
        <v>322</v>
      </c>
      <c r="G396" s="23">
        <v>216</v>
      </c>
      <c r="H396" s="24">
        <v>61</v>
      </c>
      <c r="I396" s="23">
        <v>58</v>
      </c>
      <c r="J396" s="24">
        <v>56</v>
      </c>
      <c r="K396" s="23">
        <v>55</v>
      </c>
      <c r="L396" s="24">
        <v>5</v>
      </c>
      <c r="M396" s="23">
        <v>24</v>
      </c>
      <c r="N396" s="24">
        <v>141</v>
      </c>
      <c r="O396" s="23">
        <v>92</v>
      </c>
      <c r="P396" s="24">
        <v>106</v>
      </c>
      <c r="Q396" s="23">
        <v>77</v>
      </c>
      <c r="R396" s="24">
        <v>35</v>
      </c>
      <c r="S396" s="23">
        <v>36</v>
      </c>
      <c r="T396" s="24">
        <v>120</v>
      </c>
      <c r="U396" s="23">
        <v>119</v>
      </c>
      <c r="V396" s="24">
        <v>120</v>
      </c>
      <c r="W396" s="23">
        <v>119</v>
      </c>
      <c r="X396" s="24">
        <v>0</v>
      </c>
      <c r="Y396" s="20">
        <v>34</v>
      </c>
      <c r="Z396" s="19">
        <v>262</v>
      </c>
      <c r="AA396" s="23">
        <v>106</v>
      </c>
      <c r="AB396" s="24">
        <v>86</v>
      </c>
      <c r="AC396" s="23">
        <v>46</v>
      </c>
      <c r="AD396" s="24">
        <v>81</v>
      </c>
      <c r="AE396" s="23">
        <v>45</v>
      </c>
      <c r="AF396" s="24">
        <v>5</v>
      </c>
      <c r="AG396" s="23">
        <v>9</v>
      </c>
      <c r="AH396" s="24">
        <v>130</v>
      </c>
      <c r="AI396" s="23">
        <v>61</v>
      </c>
      <c r="AJ396" s="24">
        <v>120</v>
      </c>
      <c r="AK396" s="23">
        <v>58</v>
      </c>
      <c r="AL396" s="24">
        <v>10</v>
      </c>
      <c r="AM396" s="23">
        <v>16</v>
      </c>
      <c r="AN396" s="24">
        <v>46</v>
      </c>
      <c r="AO396" s="23">
        <v>30</v>
      </c>
      <c r="AP396" s="24">
        <v>46</v>
      </c>
      <c r="AQ396" s="23">
        <v>30</v>
      </c>
      <c r="AR396" s="24">
        <v>0</v>
      </c>
      <c r="AS396" s="20">
        <v>17</v>
      </c>
      <c r="AT396" s="19">
        <v>1542</v>
      </c>
      <c r="AU396" s="23">
        <v>356</v>
      </c>
      <c r="AV396" s="24">
        <v>468</v>
      </c>
      <c r="AW396" s="23">
        <v>187</v>
      </c>
      <c r="AX396" s="24">
        <v>468</v>
      </c>
      <c r="AY396" s="23">
        <v>187</v>
      </c>
      <c r="AZ396" s="24">
        <v>0</v>
      </c>
      <c r="BA396" s="23">
        <v>17</v>
      </c>
      <c r="BB396" s="24">
        <v>765</v>
      </c>
      <c r="BC396" s="23">
        <v>189</v>
      </c>
      <c r="BD396" s="24">
        <v>691</v>
      </c>
      <c r="BE396" s="23">
        <v>174</v>
      </c>
      <c r="BF396" s="24">
        <v>74</v>
      </c>
      <c r="BG396" s="23">
        <v>67</v>
      </c>
      <c r="BH396" s="24">
        <v>309</v>
      </c>
      <c r="BI396" s="23">
        <v>75</v>
      </c>
      <c r="BJ396" s="24">
        <v>309</v>
      </c>
      <c r="BK396" s="23">
        <v>75</v>
      </c>
      <c r="BL396" s="24">
        <v>0</v>
      </c>
      <c r="BM396" s="20">
        <v>17</v>
      </c>
      <c r="BN396" s="19">
        <v>3443</v>
      </c>
      <c r="BO396" s="23">
        <v>332</v>
      </c>
      <c r="BP396" s="24">
        <v>645</v>
      </c>
      <c r="BQ396" s="23">
        <v>117</v>
      </c>
      <c r="BR396" s="24">
        <v>641</v>
      </c>
      <c r="BS396" s="23">
        <v>118</v>
      </c>
      <c r="BT396" s="26">
        <v>4</v>
      </c>
      <c r="BU396" s="23">
        <v>6</v>
      </c>
      <c r="BV396" s="24">
        <v>2243</v>
      </c>
      <c r="BW396" s="23">
        <v>231</v>
      </c>
      <c r="BX396" s="24">
        <v>2182</v>
      </c>
      <c r="BY396" s="23">
        <v>226</v>
      </c>
      <c r="BZ396" s="24">
        <v>61</v>
      </c>
      <c r="CA396" s="23">
        <v>54</v>
      </c>
      <c r="CB396" s="24">
        <v>555</v>
      </c>
      <c r="CC396" s="23">
        <v>103</v>
      </c>
      <c r="CD396" s="24">
        <v>549</v>
      </c>
      <c r="CE396" s="23">
        <v>103</v>
      </c>
      <c r="CF396" s="24">
        <v>6</v>
      </c>
      <c r="CG396" s="20">
        <v>9</v>
      </c>
    </row>
    <row r="397" spans="1:85" x14ac:dyDescent="0.3">
      <c r="A397" t="s">
        <v>793</v>
      </c>
      <c r="B397">
        <v>21774</v>
      </c>
      <c r="C397" t="s">
        <v>794</v>
      </c>
      <c r="D397" s="19">
        <v>12991</v>
      </c>
      <c r="E397" s="20">
        <v>406</v>
      </c>
      <c r="F397" s="19">
        <v>642</v>
      </c>
      <c r="G397" s="23">
        <v>352</v>
      </c>
      <c r="H397" s="24">
        <v>262</v>
      </c>
      <c r="I397" s="23">
        <v>210</v>
      </c>
      <c r="J397" s="24">
        <v>262</v>
      </c>
      <c r="K397" s="23">
        <v>210</v>
      </c>
      <c r="L397" s="24">
        <v>0</v>
      </c>
      <c r="M397" s="23">
        <v>38</v>
      </c>
      <c r="N397" s="24">
        <v>324</v>
      </c>
      <c r="O397" s="23">
        <v>161</v>
      </c>
      <c r="P397" s="24">
        <v>258</v>
      </c>
      <c r="Q397" s="23">
        <v>142</v>
      </c>
      <c r="R397" s="24">
        <v>66</v>
      </c>
      <c r="S397" s="23">
        <v>59</v>
      </c>
      <c r="T397" s="24">
        <v>56</v>
      </c>
      <c r="U397" s="23">
        <v>59</v>
      </c>
      <c r="V397" s="24">
        <v>56</v>
      </c>
      <c r="W397" s="23">
        <v>59</v>
      </c>
      <c r="X397" s="24">
        <v>0</v>
      </c>
      <c r="Y397" s="20">
        <v>38</v>
      </c>
      <c r="Z397" s="19">
        <v>573</v>
      </c>
      <c r="AA397" s="23">
        <v>294</v>
      </c>
      <c r="AB397" s="24">
        <v>212</v>
      </c>
      <c r="AC397" s="23">
        <v>196</v>
      </c>
      <c r="AD397" s="24">
        <v>212</v>
      </c>
      <c r="AE397" s="23">
        <v>196</v>
      </c>
      <c r="AF397" s="24">
        <v>0</v>
      </c>
      <c r="AG397" s="23">
        <v>19</v>
      </c>
      <c r="AH397" s="24">
        <v>252</v>
      </c>
      <c r="AI397" s="23">
        <v>131</v>
      </c>
      <c r="AJ397" s="24">
        <v>213</v>
      </c>
      <c r="AK397" s="23">
        <v>124</v>
      </c>
      <c r="AL397" s="24">
        <v>39</v>
      </c>
      <c r="AM397" s="23">
        <v>36</v>
      </c>
      <c r="AN397" s="24">
        <v>109</v>
      </c>
      <c r="AO397" s="23">
        <v>54</v>
      </c>
      <c r="AP397" s="24">
        <v>109</v>
      </c>
      <c r="AQ397" s="23">
        <v>54</v>
      </c>
      <c r="AR397" s="24">
        <v>0</v>
      </c>
      <c r="AS397" s="20">
        <v>19</v>
      </c>
      <c r="AT397" s="19">
        <v>2193</v>
      </c>
      <c r="AU397" s="23">
        <v>340</v>
      </c>
      <c r="AV397" s="24">
        <v>661</v>
      </c>
      <c r="AW397" s="23">
        <v>149</v>
      </c>
      <c r="AX397" s="24">
        <v>624</v>
      </c>
      <c r="AY397" s="23">
        <v>154</v>
      </c>
      <c r="AZ397" s="24">
        <v>37</v>
      </c>
      <c r="BA397" s="23">
        <v>45</v>
      </c>
      <c r="BB397" s="24">
        <v>1266</v>
      </c>
      <c r="BC397" s="23">
        <v>217</v>
      </c>
      <c r="BD397" s="24">
        <v>1172</v>
      </c>
      <c r="BE397" s="23">
        <v>220</v>
      </c>
      <c r="BF397" s="24">
        <v>94</v>
      </c>
      <c r="BG397" s="23">
        <v>56</v>
      </c>
      <c r="BH397" s="24">
        <v>266</v>
      </c>
      <c r="BI397" s="23">
        <v>123</v>
      </c>
      <c r="BJ397" s="24">
        <v>266</v>
      </c>
      <c r="BK397" s="23">
        <v>123</v>
      </c>
      <c r="BL397" s="24">
        <v>0</v>
      </c>
      <c r="BM397" s="20">
        <v>19</v>
      </c>
      <c r="BN397" s="19">
        <v>9583</v>
      </c>
      <c r="BO397" s="23">
        <v>429</v>
      </c>
      <c r="BP397" s="24">
        <v>2882</v>
      </c>
      <c r="BQ397" s="23">
        <v>252</v>
      </c>
      <c r="BR397" s="24">
        <v>2879</v>
      </c>
      <c r="BS397" s="23">
        <v>253</v>
      </c>
      <c r="BT397" s="26">
        <v>3</v>
      </c>
      <c r="BU397" s="23">
        <v>4</v>
      </c>
      <c r="BV397" s="24">
        <v>5944</v>
      </c>
      <c r="BW397" s="23">
        <v>296</v>
      </c>
      <c r="BX397" s="24">
        <v>5898</v>
      </c>
      <c r="BY397" s="23">
        <v>284</v>
      </c>
      <c r="BZ397" s="24">
        <v>46</v>
      </c>
      <c r="CA397" s="23">
        <v>46</v>
      </c>
      <c r="CB397" s="24">
        <v>757</v>
      </c>
      <c r="CC397" s="23">
        <v>101</v>
      </c>
      <c r="CD397" s="24">
        <v>757</v>
      </c>
      <c r="CE397" s="23">
        <v>101</v>
      </c>
      <c r="CF397" s="24">
        <v>0</v>
      </c>
      <c r="CG397" s="20">
        <v>19</v>
      </c>
    </row>
    <row r="398" spans="1:85" x14ac:dyDescent="0.3">
      <c r="A398" t="s">
        <v>795</v>
      </c>
      <c r="B398">
        <v>21776</v>
      </c>
      <c r="C398" t="s">
        <v>796</v>
      </c>
      <c r="D398" s="19">
        <v>5308</v>
      </c>
      <c r="E398" s="20">
        <v>402</v>
      </c>
      <c r="F398" s="19">
        <v>564</v>
      </c>
      <c r="G398" s="23">
        <v>250</v>
      </c>
      <c r="H398" s="24">
        <v>169</v>
      </c>
      <c r="I398" s="23">
        <v>109</v>
      </c>
      <c r="J398" s="24">
        <v>169</v>
      </c>
      <c r="K398" s="23">
        <v>109</v>
      </c>
      <c r="L398" s="24">
        <v>0</v>
      </c>
      <c r="M398" s="23">
        <v>34</v>
      </c>
      <c r="N398" s="24">
        <v>330</v>
      </c>
      <c r="O398" s="23">
        <v>157</v>
      </c>
      <c r="P398" s="24">
        <v>284</v>
      </c>
      <c r="Q398" s="23">
        <v>149</v>
      </c>
      <c r="R398" s="24">
        <v>46</v>
      </c>
      <c r="S398" s="23">
        <v>46</v>
      </c>
      <c r="T398" s="24">
        <v>65</v>
      </c>
      <c r="U398" s="23">
        <v>55</v>
      </c>
      <c r="V398" s="24">
        <v>65</v>
      </c>
      <c r="W398" s="23">
        <v>55</v>
      </c>
      <c r="X398" s="24">
        <v>0</v>
      </c>
      <c r="Y398" s="20">
        <v>34</v>
      </c>
      <c r="Z398" s="19">
        <v>503</v>
      </c>
      <c r="AA398" s="23">
        <v>206</v>
      </c>
      <c r="AB398" s="24">
        <v>194</v>
      </c>
      <c r="AC398" s="23">
        <v>96</v>
      </c>
      <c r="AD398" s="24">
        <v>194</v>
      </c>
      <c r="AE398" s="23">
        <v>96</v>
      </c>
      <c r="AF398" s="24">
        <v>0</v>
      </c>
      <c r="AG398" s="23">
        <v>17</v>
      </c>
      <c r="AH398" s="24">
        <v>278</v>
      </c>
      <c r="AI398" s="23">
        <v>120</v>
      </c>
      <c r="AJ398" s="24">
        <v>268</v>
      </c>
      <c r="AK398" s="23">
        <v>114</v>
      </c>
      <c r="AL398" s="24">
        <v>10</v>
      </c>
      <c r="AM398" s="23">
        <v>15</v>
      </c>
      <c r="AN398" s="24">
        <v>31</v>
      </c>
      <c r="AO398" s="23">
        <v>27</v>
      </c>
      <c r="AP398" s="24">
        <v>31</v>
      </c>
      <c r="AQ398" s="23">
        <v>27</v>
      </c>
      <c r="AR398" s="24">
        <v>0</v>
      </c>
      <c r="AS398" s="20">
        <v>17</v>
      </c>
      <c r="AT398" s="19">
        <v>1445</v>
      </c>
      <c r="AU398" s="23">
        <v>309</v>
      </c>
      <c r="AV398" s="24">
        <v>338</v>
      </c>
      <c r="AW398" s="23">
        <v>137</v>
      </c>
      <c r="AX398" s="24">
        <v>322</v>
      </c>
      <c r="AY398" s="23">
        <v>136</v>
      </c>
      <c r="AZ398" s="24">
        <v>16</v>
      </c>
      <c r="BA398" s="23">
        <v>25</v>
      </c>
      <c r="BB398" s="24">
        <v>906</v>
      </c>
      <c r="BC398" s="23">
        <v>177</v>
      </c>
      <c r="BD398" s="24">
        <v>839</v>
      </c>
      <c r="BE398" s="23">
        <v>182</v>
      </c>
      <c r="BF398" s="24">
        <v>67</v>
      </c>
      <c r="BG398" s="23">
        <v>65</v>
      </c>
      <c r="BH398" s="24">
        <v>201</v>
      </c>
      <c r="BI398" s="23">
        <v>68</v>
      </c>
      <c r="BJ398" s="24">
        <v>201</v>
      </c>
      <c r="BK398" s="23">
        <v>68</v>
      </c>
      <c r="BL398" s="24">
        <v>0</v>
      </c>
      <c r="BM398" s="20">
        <v>17</v>
      </c>
      <c r="BN398" s="19">
        <v>2796</v>
      </c>
      <c r="BO398" s="23">
        <v>329</v>
      </c>
      <c r="BP398" s="24">
        <v>508</v>
      </c>
      <c r="BQ398" s="23">
        <v>130</v>
      </c>
      <c r="BR398" s="24">
        <v>505</v>
      </c>
      <c r="BS398" s="23">
        <v>128</v>
      </c>
      <c r="BT398" s="26">
        <v>3</v>
      </c>
      <c r="BU398" s="23">
        <v>6</v>
      </c>
      <c r="BV398" s="24">
        <v>2000</v>
      </c>
      <c r="BW398" s="23">
        <v>262</v>
      </c>
      <c r="BX398" s="24">
        <v>1993</v>
      </c>
      <c r="BY398" s="23">
        <v>262</v>
      </c>
      <c r="BZ398" s="24">
        <v>7</v>
      </c>
      <c r="CA398" s="23">
        <v>11</v>
      </c>
      <c r="CB398" s="24">
        <v>288</v>
      </c>
      <c r="CC398" s="23">
        <v>82</v>
      </c>
      <c r="CD398" s="24">
        <v>288</v>
      </c>
      <c r="CE398" s="23">
        <v>82</v>
      </c>
      <c r="CF398" s="24">
        <v>0</v>
      </c>
      <c r="CG398" s="20">
        <v>17</v>
      </c>
    </row>
    <row r="399" spans="1:85" x14ac:dyDescent="0.3">
      <c r="A399" t="s">
        <v>797</v>
      </c>
      <c r="B399">
        <v>21777</v>
      </c>
      <c r="C399" t="s">
        <v>798</v>
      </c>
      <c r="D399" s="19">
        <v>1761</v>
      </c>
      <c r="E399" s="20">
        <v>196</v>
      </c>
      <c r="F399" s="19">
        <v>91</v>
      </c>
      <c r="G399" s="23">
        <v>78</v>
      </c>
      <c r="H399" s="24">
        <v>20</v>
      </c>
      <c r="I399" s="23">
        <v>35</v>
      </c>
      <c r="J399" s="24">
        <v>14</v>
      </c>
      <c r="K399" s="23">
        <v>34</v>
      </c>
      <c r="L399" s="24">
        <v>6</v>
      </c>
      <c r="M399" s="23">
        <v>21</v>
      </c>
      <c r="N399" s="24">
        <v>50</v>
      </c>
      <c r="O399" s="23">
        <v>45</v>
      </c>
      <c r="P399" s="24">
        <v>34</v>
      </c>
      <c r="Q399" s="23">
        <v>31</v>
      </c>
      <c r="R399" s="24">
        <v>16</v>
      </c>
      <c r="S399" s="23">
        <v>22</v>
      </c>
      <c r="T399" s="24">
        <v>21</v>
      </c>
      <c r="U399" s="23">
        <v>30</v>
      </c>
      <c r="V399" s="24">
        <v>21</v>
      </c>
      <c r="W399" s="23">
        <v>30</v>
      </c>
      <c r="X399" s="24">
        <v>0</v>
      </c>
      <c r="Y399" s="20">
        <v>24</v>
      </c>
      <c r="Z399" s="19">
        <v>54</v>
      </c>
      <c r="AA399" s="23">
        <v>56</v>
      </c>
      <c r="AB399" s="24">
        <v>38</v>
      </c>
      <c r="AC399" s="23">
        <v>40</v>
      </c>
      <c r="AD399" s="24">
        <v>16</v>
      </c>
      <c r="AE399" s="23">
        <v>26</v>
      </c>
      <c r="AF399" s="24">
        <v>22</v>
      </c>
      <c r="AG399" s="23">
        <v>32</v>
      </c>
      <c r="AH399" s="24">
        <v>16</v>
      </c>
      <c r="AI399" s="23">
        <v>17</v>
      </c>
      <c r="AJ399" s="24">
        <v>16</v>
      </c>
      <c r="AK399" s="23">
        <v>17</v>
      </c>
      <c r="AL399" s="24">
        <v>0</v>
      </c>
      <c r="AM399" s="23">
        <v>12</v>
      </c>
      <c r="AN399" s="24">
        <v>0</v>
      </c>
      <c r="AO399" s="23">
        <v>12</v>
      </c>
      <c r="AP399" s="24">
        <v>0</v>
      </c>
      <c r="AQ399" s="23">
        <v>12</v>
      </c>
      <c r="AR399" s="24">
        <v>0</v>
      </c>
      <c r="AS399" s="20">
        <v>12</v>
      </c>
      <c r="AT399" s="19">
        <v>535</v>
      </c>
      <c r="AU399" s="23">
        <v>203</v>
      </c>
      <c r="AV399" s="24">
        <v>207</v>
      </c>
      <c r="AW399" s="23">
        <v>110</v>
      </c>
      <c r="AX399" s="24">
        <v>207</v>
      </c>
      <c r="AY399" s="23">
        <v>110</v>
      </c>
      <c r="AZ399" s="24">
        <v>0</v>
      </c>
      <c r="BA399" s="23">
        <v>12</v>
      </c>
      <c r="BB399" s="24">
        <v>240</v>
      </c>
      <c r="BC399" s="23">
        <v>96</v>
      </c>
      <c r="BD399" s="24">
        <v>240</v>
      </c>
      <c r="BE399" s="23">
        <v>96</v>
      </c>
      <c r="BF399" s="24">
        <v>0</v>
      </c>
      <c r="BG399" s="23">
        <v>12</v>
      </c>
      <c r="BH399" s="24">
        <v>88</v>
      </c>
      <c r="BI399" s="23">
        <v>59</v>
      </c>
      <c r="BJ399" s="24">
        <v>88</v>
      </c>
      <c r="BK399" s="23">
        <v>59</v>
      </c>
      <c r="BL399" s="24">
        <v>0</v>
      </c>
      <c r="BM399" s="20">
        <v>12</v>
      </c>
      <c r="BN399" s="19">
        <v>1081</v>
      </c>
      <c r="BO399" s="23">
        <v>172</v>
      </c>
      <c r="BP399" s="24">
        <v>253</v>
      </c>
      <c r="BQ399" s="23">
        <v>78</v>
      </c>
      <c r="BR399" s="24">
        <v>253</v>
      </c>
      <c r="BS399" s="23">
        <v>78</v>
      </c>
      <c r="BT399" s="26">
        <v>0</v>
      </c>
      <c r="BU399" s="23">
        <v>12</v>
      </c>
      <c r="BV399" s="24">
        <v>737</v>
      </c>
      <c r="BW399" s="23">
        <v>114</v>
      </c>
      <c r="BX399" s="24">
        <v>717</v>
      </c>
      <c r="BY399" s="23">
        <v>117</v>
      </c>
      <c r="BZ399" s="24">
        <v>20</v>
      </c>
      <c r="CA399" s="23">
        <v>18</v>
      </c>
      <c r="CB399" s="24">
        <v>91</v>
      </c>
      <c r="CC399" s="23">
        <v>38</v>
      </c>
      <c r="CD399" s="24">
        <v>91</v>
      </c>
      <c r="CE399" s="23">
        <v>38</v>
      </c>
      <c r="CF399" s="24">
        <v>0</v>
      </c>
      <c r="CG399" s="20">
        <v>12</v>
      </c>
    </row>
    <row r="400" spans="1:85" x14ac:dyDescent="0.3">
      <c r="A400" t="s">
        <v>799</v>
      </c>
      <c r="B400">
        <v>21778</v>
      </c>
      <c r="C400" t="s">
        <v>800</v>
      </c>
      <c r="D400" s="19">
        <v>1364</v>
      </c>
      <c r="E400" s="20">
        <v>337</v>
      </c>
      <c r="F400" s="19">
        <v>83</v>
      </c>
      <c r="G400" s="23">
        <v>92</v>
      </c>
      <c r="H400" s="24">
        <v>0</v>
      </c>
      <c r="I400" s="23">
        <v>24</v>
      </c>
      <c r="J400" s="24">
        <v>0</v>
      </c>
      <c r="K400" s="23">
        <v>24</v>
      </c>
      <c r="L400" s="24">
        <v>0</v>
      </c>
      <c r="M400" s="23">
        <v>24</v>
      </c>
      <c r="N400" s="24">
        <v>47</v>
      </c>
      <c r="O400" s="23">
        <v>63</v>
      </c>
      <c r="P400" s="24">
        <v>30</v>
      </c>
      <c r="Q400" s="23">
        <v>40</v>
      </c>
      <c r="R400" s="24">
        <v>17</v>
      </c>
      <c r="S400" s="23">
        <v>38</v>
      </c>
      <c r="T400" s="24">
        <v>36</v>
      </c>
      <c r="U400" s="23">
        <v>43</v>
      </c>
      <c r="V400" s="24">
        <v>36</v>
      </c>
      <c r="W400" s="23">
        <v>43</v>
      </c>
      <c r="X400" s="24">
        <v>0</v>
      </c>
      <c r="Y400" s="20">
        <v>24</v>
      </c>
      <c r="Z400" s="19">
        <v>9</v>
      </c>
      <c r="AA400" s="23">
        <v>14</v>
      </c>
      <c r="AB400" s="24">
        <v>0</v>
      </c>
      <c r="AC400" s="23">
        <v>12</v>
      </c>
      <c r="AD400" s="24">
        <v>0</v>
      </c>
      <c r="AE400" s="23">
        <v>12</v>
      </c>
      <c r="AF400" s="24">
        <v>0</v>
      </c>
      <c r="AG400" s="23">
        <v>12</v>
      </c>
      <c r="AH400" s="24">
        <v>9</v>
      </c>
      <c r="AI400" s="23">
        <v>14</v>
      </c>
      <c r="AJ400" s="24">
        <v>9</v>
      </c>
      <c r="AK400" s="23">
        <v>14</v>
      </c>
      <c r="AL400" s="24">
        <v>0</v>
      </c>
      <c r="AM400" s="23">
        <v>12</v>
      </c>
      <c r="AN400" s="24">
        <v>0</v>
      </c>
      <c r="AO400" s="23">
        <v>12</v>
      </c>
      <c r="AP400" s="24">
        <v>0</v>
      </c>
      <c r="AQ400" s="23">
        <v>12</v>
      </c>
      <c r="AR400" s="24">
        <v>0</v>
      </c>
      <c r="AS400" s="20">
        <v>12</v>
      </c>
      <c r="AT400" s="19">
        <v>357</v>
      </c>
      <c r="AU400" s="23">
        <v>236</v>
      </c>
      <c r="AV400" s="24">
        <v>115</v>
      </c>
      <c r="AW400" s="23">
        <v>142</v>
      </c>
      <c r="AX400" s="24">
        <v>115</v>
      </c>
      <c r="AY400" s="23">
        <v>142</v>
      </c>
      <c r="AZ400" s="24">
        <v>0</v>
      </c>
      <c r="BA400" s="23">
        <v>12</v>
      </c>
      <c r="BB400" s="24">
        <v>184</v>
      </c>
      <c r="BC400" s="23">
        <v>94</v>
      </c>
      <c r="BD400" s="24">
        <v>184</v>
      </c>
      <c r="BE400" s="23">
        <v>94</v>
      </c>
      <c r="BF400" s="24">
        <v>0</v>
      </c>
      <c r="BG400" s="23">
        <v>12</v>
      </c>
      <c r="BH400" s="24">
        <v>58</v>
      </c>
      <c r="BI400" s="23">
        <v>38</v>
      </c>
      <c r="BJ400" s="24">
        <v>58</v>
      </c>
      <c r="BK400" s="23">
        <v>38</v>
      </c>
      <c r="BL400" s="24">
        <v>0</v>
      </c>
      <c r="BM400" s="20">
        <v>12</v>
      </c>
      <c r="BN400" s="19">
        <v>915</v>
      </c>
      <c r="BO400" s="23">
        <v>510</v>
      </c>
      <c r="BP400" s="24">
        <v>221</v>
      </c>
      <c r="BQ400" s="23">
        <v>200</v>
      </c>
      <c r="BR400" s="24">
        <v>221</v>
      </c>
      <c r="BS400" s="23">
        <v>200</v>
      </c>
      <c r="BT400" s="26">
        <v>0</v>
      </c>
      <c r="BU400" s="23">
        <v>12</v>
      </c>
      <c r="BV400" s="24">
        <v>650</v>
      </c>
      <c r="BW400" s="23">
        <v>314</v>
      </c>
      <c r="BX400" s="24">
        <v>579</v>
      </c>
      <c r="BY400" s="23">
        <v>317</v>
      </c>
      <c r="BZ400" s="24">
        <v>71</v>
      </c>
      <c r="CA400" s="23">
        <v>47</v>
      </c>
      <c r="CB400" s="24">
        <v>44</v>
      </c>
      <c r="CC400" s="23">
        <v>36</v>
      </c>
      <c r="CD400" s="24">
        <v>44</v>
      </c>
      <c r="CE400" s="23">
        <v>36</v>
      </c>
      <c r="CF400" s="24">
        <v>0</v>
      </c>
      <c r="CG400" s="20">
        <v>12</v>
      </c>
    </row>
    <row r="401" spans="1:85" x14ac:dyDescent="0.3">
      <c r="A401" t="s">
        <v>801</v>
      </c>
      <c r="B401">
        <v>21779</v>
      </c>
      <c r="C401" t="s">
        <v>802</v>
      </c>
      <c r="D401" s="19">
        <v>1157</v>
      </c>
      <c r="E401" s="20">
        <v>638</v>
      </c>
      <c r="F401" s="19">
        <v>52</v>
      </c>
      <c r="G401" s="23">
        <v>74</v>
      </c>
      <c r="H401" s="24">
        <v>0</v>
      </c>
      <c r="I401" s="23">
        <v>24</v>
      </c>
      <c r="J401" s="24">
        <v>0</v>
      </c>
      <c r="K401" s="23">
        <v>24</v>
      </c>
      <c r="L401" s="24">
        <v>0</v>
      </c>
      <c r="M401" s="23">
        <v>24</v>
      </c>
      <c r="N401" s="24">
        <v>18</v>
      </c>
      <c r="O401" s="23">
        <v>40</v>
      </c>
      <c r="P401" s="24">
        <v>18</v>
      </c>
      <c r="Q401" s="23">
        <v>40</v>
      </c>
      <c r="R401" s="24">
        <v>0</v>
      </c>
      <c r="S401" s="23">
        <v>24</v>
      </c>
      <c r="T401" s="24">
        <v>34</v>
      </c>
      <c r="U401" s="23">
        <v>49</v>
      </c>
      <c r="V401" s="24">
        <v>34</v>
      </c>
      <c r="W401" s="23">
        <v>49</v>
      </c>
      <c r="X401" s="24">
        <v>0</v>
      </c>
      <c r="Y401" s="20">
        <v>24</v>
      </c>
      <c r="Z401" s="19">
        <v>0</v>
      </c>
      <c r="AA401" s="23">
        <v>12</v>
      </c>
      <c r="AB401" s="24">
        <v>0</v>
      </c>
      <c r="AC401" s="23">
        <v>12</v>
      </c>
      <c r="AD401" s="24">
        <v>0</v>
      </c>
      <c r="AE401" s="23">
        <v>12</v>
      </c>
      <c r="AF401" s="24">
        <v>0</v>
      </c>
      <c r="AG401" s="23">
        <v>12</v>
      </c>
      <c r="AH401" s="24">
        <v>0</v>
      </c>
      <c r="AI401" s="23">
        <v>12</v>
      </c>
      <c r="AJ401" s="24">
        <v>0</v>
      </c>
      <c r="AK401" s="23">
        <v>12</v>
      </c>
      <c r="AL401" s="24">
        <v>0</v>
      </c>
      <c r="AM401" s="23">
        <v>12</v>
      </c>
      <c r="AN401" s="24">
        <v>0</v>
      </c>
      <c r="AO401" s="23">
        <v>12</v>
      </c>
      <c r="AP401" s="24">
        <v>0</v>
      </c>
      <c r="AQ401" s="23">
        <v>12</v>
      </c>
      <c r="AR401" s="24">
        <v>0</v>
      </c>
      <c r="AS401" s="20">
        <v>12</v>
      </c>
      <c r="AT401" s="19">
        <v>587</v>
      </c>
      <c r="AU401" s="23">
        <v>642</v>
      </c>
      <c r="AV401" s="24">
        <v>248</v>
      </c>
      <c r="AW401" s="23">
        <v>272</v>
      </c>
      <c r="AX401" s="24">
        <v>248</v>
      </c>
      <c r="AY401" s="23">
        <v>272</v>
      </c>
      <c r="AZ401" s="24">
        <v>0</v>
      </c>
      <c r="BA401" s="23">
        <v>12</v>
      </c>
      <c r="BB401" s="24">
        <v>339</v>
      </c>
      <c r="BC401" s="23">
        <v>373</v>
      </c>
      <c r="BD401" s="24">
        <v>339</v>
      </c>
      <c r="BE401" s="23">
        <v>373</v>
      </c>
      <c r="BF401" s="24">
        <v>0</v>
      </c>
      <c r="BG401" s="23">
        <v>12</v>
      </c>
      <c r="BH401" s="24">
        <v>0</v>
      </c>
      <c r="BI401" s="23">
        <v>12</v>
      </c>
      <c r="BJ401" s="24">
        <v>0</v>
      </c>
      <c r="BK401" s="23">
        <v>12</v>
      </c>
      <c r="BL401" s="24">
        <v>0</v>
      </c>
      <c r="BM401" s="20">
        <v>12</v>
      </c>
      <c r="BN401" s="19">
        <v>518</v>
      </c>
      <c r="BO401" s="23">
        <v>198</v>
      </c>
      <c r="BP401" s="24">
        <v>70</v>
      </c>
      <c r="BQ401" s="23">
        <v>48</v>
      </c>
      <c r="BR401" s="24">
        <v>70</v>
      </c>
      <c r="BS401" s="23">
        <v>48</v>
      </c>
      <c r="BT401" s="26">
        <v>0</v>
      </c>
      <c r="BU401" s="23">
        <v>12</v>
      </c>
      <c r="BV401" s="24">
        <v>334</v>
      </c>
      <c r="BW401" s="23">
        <v>141</v>
      </c>
      <c r="BX401" s="24">
        <v>334</v>
      </c>
      <c r="BY401" s="23">
        <v>141</v>
      </c>
      <c r="BZ401" s="24">
        <v>0</v>
      </c>
      <c r="CA401" s="23">
        <v>12</v>
      </c>
      <c r="CB401" s="24">
        <v>114</v>
      </c>
      <c r="CC401" s="23">
        <v>67</v>
      </c>
      <c r="CD401" s="24">
        <v>114</v>
      </c>
      <c r="CE401" s="23">
        <v>67</v>
      </c>
      <c r="CF401" s="24">
        <v>0</v>
      </c>
      <c r="CG401" s="20">
        <v>12</v>
      </c>
    </row>
    <row r="402" spans="1:85" x14ac:dyDescent="0.3">
      <c r="A402" t="s">
        <v>803</v>
      </c>
      <c r="B402">
        <v>21780</v>
      </c>
      <c r="C402" t="s">
        <v>804</v>
      </c>
      <c r="D402" s="19">
        <v>1385</v>
      </c>
      <c r="E402" s="20">
        <v>337</v>
      </c>
      <c r="F402" s="19">
        <v>209</v>
      </c>
      <c r="G402" s="23">
        <v>156</v>
      </c>
      <c r="H402" s="24">
        <v>35</v>
      </c>
      <c r="I402" s="23">
        <v>56</v>
      </c>
      <c r="J402" s="24">
        <v>35</v>
      </c>
      <c r="K402" s="23">
        <v>56</v>
      </c>
      <c r="L402" s="24">
        <v>0</v>
      </c>
      <c r="M402" s="23">
        <v>24</v>
      </c>
      <c r="N402" s="24">
        <v>131</v>
      </c>
      <c r="O402" s="23">
        <v>97</v>
      </c>
      <c r="P402" s="24">
        <v>111</v>
      </c>
      <c r="Q402" s="23">
        <v>92</v>
      </c>
      <c r="R402" s="24">
        <v>20</v>
      </c>
      <c r="S402" s="23">
        <v>28</v>
      </c>
      <c r="T402" s="24">
        <v>43</v>
      </c>
      <c r="U402" s="23">
        <v>58</v>
      </c>
      <c r="V402" s="24">
        <v>43</v>
      </c>
      <c r="W402" s="23">
        <v>58</v>
      </c>
      <c r="X402" s="24">
        <v>0</v>
      </c>
      <c r="Y402" s="20">
        <v>24</v>
      </c>
      <c r="Z402" s="19">
        <v>116</v>
      </c>
      <c r="AA402" s="23">
        <v>117</v>
      </c>
      <c r="AB402" s="24">
        <v>42</v>
      </c>
      <c r="AC402" s="23">
        <v>64</v>
      </c>
      <c r="AD402" s="24">
        <v>42</v>
      </c>
      <c r="AE402" s="23">
        <v>64</v>
      </c>
      <c r="AF402" s="24">
        <v>0</v>
      </c>
      <c r="AG402" s="23">
        <v>12</v>
      </c>
      <c r="AH402" s="24">
        <v>51</v>
      </c>
      <c r="AI402" s="23">
        <v>52</v>
      </c>
      <c r="AJ402" s="24">
        <v>51</v>
      </c>
      <c r="AK402" s="23">
        <v>52</v>
      </c>
      <c r="AL402" s="24">
        <v>0</v>
      </c>
      <c r="AM402" s="23">
        <v>12</v>
      </c>
      <c r="AN402" s="24">
        <v>23</v>
      </c>
      <c r="AO402" s="23">
        <v>27</v>
      </c>
      <c r="AP402" s="24">
        <v>23</v>
      </c>
      <c r="AQ402" s="23">
        <v>27</v>
      </c>
      <c r="AR402" s="24">
        <v>0</v>
      </c>
      <c r="AS402" s="20">
        <v>12</v>
      </c>
      <c r="AT402" s="19">
        <v>574</v>
      </c>
      <c r="AU402" s="23">
        <v>313</v>
      </c>
      <c r="AV402" s="24">
        <v>122</v>
      </c>
      <c r="AW402" s="23">
        <v>92</v>
      </c>
      <c r="AX402" s="24">
        <v>108</v>
      </c>
      <c r="AY402" s="23">
        <v>91</v>
      </c>
      <c r="AZ402" s="24">
        <v>14</v>
      </c>
      <c r="BA402" s="23">
        <v>20</v>
      </c>
      <c r="BB402" s="24">
        <v>335</v>
      </c>
      <c r="BC402" s="23">
        <v>218</v>
      </c>
      <c r="BD402" s="24">
        <v>283</v>
      </c>
      <c r="BE402" s="23">
        <v>168</v>
      </c>
      <c r="BF402" s="24">
        <v>52</v>
      </c>
      <c r="BG402" s="23">
        <v>60</v>
      </c>
      <c r="BH402" s="24">
        <v>117</v>
      </c>
      <c r="BI402" s="23">
        <v>61</v>
      </c>
      <c r="BJ402" s="24">
        <v>117</v>
      </c>
      <c r="BK402" s="23">
        <v>61</v>
      </c>
      <c r="BL402" s="24">
        <v>0</v>
      </c>
      <c r="BM402" s="20">
        <v>12</v>
      </c>
      <c r="BN402" s="19">
        <v>486</v>
      </c>
      <c r="BO402" s="23">
        <v>177</v>
      </c>
      <c r="BP402" s="24">
        <v>85</v>
      </c>
      <c r="BQ402" s="23">
        <v>59</v>
      </c>
      <c r="BR402" s="24">
        <v>85</v>
      </c>
      <c r="BS402" s="23">
        <v>59</v>
      </c>
      <c r="BT402" s="26">
        <v>0</v>
      </c>
      <c r="BU402" s="23">
        <v>12</v>
      </c>
      <c r="BV402" s="24">
        <v>303</v>
      </c>
      <c r="BW402" s="23">
        <v>113</v>
      </c>
      <c r="BX402" s="24">
        <v>303</v>
      </c>
      <c r="BY402" s="23">
        <v>113</v>
      </c>
      <c r="BZ402" s="24">
        <v>0</v>
      </c>
      <c r="CA402" s="23">
        <v>12</v>
      </c>
      <c r="CB402" s="24">
        <v>98</v>
      </c>
      <c r="CC402" s="23">
        <v>61</v>
      </c>
      <c r="CD402" s="24">
        <v>98</v>
      </c>
      <c r="CE402" s="23">
        <v>61</v>
      </c>
      <c r="CF402" s="24">
        <v>0</v>
      </c>
      <c r="CG402" s="20">
        <v>12</v>
      </c>
    </row>
    <row r="403" spans="1:85" x14ac:dyDescent="0.3">
      <c r="A403" t="s">
        <v>805</v>
      </c>
      <c r="B403">
        <v>21781</v>
      </c>
      <c r="C403" t="s">
        <v>806</v>
      </c>
      <c r="D403" s="19">
        <v>71</v>
      </c>
      <c r="E403" s="20">
        <v>115</v>
      </c>
      <c r="F403" s="19">
        <v>0</v>
      </c>
      <c r="G403" s="23">
        <v>24</v>
      </c>
      <c r="H403" s="24">
        <v>0</v>
      </c>
      <c r="I403" s="23">
        <v>24</v>
      </c>
      <c r="J403" s="24">
        <v>0</v>
      </c>
      <c r="K403" s="23">
        <v>24</v>
      </c>
      <c r="L403" s="24">
        <v>0</v>
      </c>
      <c r="M403" s="23">
        <v>24</v>
      </c>
      <c r="N403" s="24">
        <v>0</v>
      </c>
      <c r="O403" s="23">
        <v>24</v>
      </c>
      <c r="P403" s="24">
        <v>0</v>
      </c>
      <c r="Q403" s="23">
        <v>24</v>
      </c>
      <c r="R403" s="24">
        <v>0</v>
      </c>
      <c r="S403" s="23">
        <v>24</v>
      </c>
      <c r="T403" s="24">
        <v>0</v>
      </c>
      <c r="U403" s="23">
        <v>24</v>
      </c>
      <c r="V403" s="24">
        <v>0</v>
      </c>
      <c r="W403" s="23">
        <v>24</v>
      </c>
      <c r="X403" s="24">
        <v>0</v>
      </c>
      <c r="Y403" s="20">
        <v>24</v>
      </c>
      <c r="Z403" s="19">
        <v>0</v>
      </c>
      <c r="AA403" s="23">
        <v>12</v>
      </c>
      <c r="AB403" s="24">
        <v>0</v>
      </c>
      <c r="AC403" s="23">
        <v>12</v>
      </c>
      <c r="AD403" s="24">
        <v>0</v>
      </c>
      <c r="AE403" s="23">
        <v>12</v>
      </c>
      <c r="AF403" s="24">
        <v>0</v>
      </c>
      <c r="AG403" s="23">
        <v>12</v>
      </c>
      <c r="AH403" s="24">
        <v>0</v>
      </c>
      <c r="AI403" s="23">
        <v>12</v>
      </c>
      <c r="AJ403" s="24">
        <v>0</v>
      </c>
      <c r="AK403" s="23">
        <v>12</v>
      </c>
      <c r="AL403" s="24">
        <v>0</v>
      </c>
      <c r="AM403" s="23">
        <v>12</v>
      </c>
      <c r="AN403" s="24">
        <v>0</v>
      </c>
      <c r="AO403" s="23">
        <v>12</v>
      </c>
      <c r="AP403" s="24">
        <v>0</v>
      </c>
      <c r="AQ403" s="23">
        <v>12</v>
      </c>
      <c r="AR403" s="24">
        <v>0</v>
      </c>
      <c r="AS403" s="20">
        <v>12</v>
      </c>
      <c r="AT403" s="19">
        <v>71</v>
      </c>
      <c r="AU403" s="23">
        <v>115</v>
      </c>
      <c r="AV403" s="24">
        <v>54</v>
      </c>
      <c r="AW403" s="23">
        <v>88</v>
      </c>
      <c r="AX403" s="24">
        <v>54</v>
      </c>
      <c r="AY403" s="23">
        <v>88</v>
      </c>
      <c r="AZ403" s="24">
        <v>0</v>
      </c>
      <c r="BA403" s="23">
        <v>12</v>
      </c>
      <c r="BB403" s="24">
        <v>17</v>
      </c>
      <c r="BC403" s="23">
        <v>27</v>
      </c>
      <c r="BD403" s="24">
        <v>17</v>
      </c>
      <c r="BE403" s="23">
        <v>27</v>
      </c>
      <c r="BF403" s="24">
        <v>0</v>
      </c>
      <c r="BG403" s="23">
        <v>12</v>
      </c>
      <c r="BH403" s="24">
        <v>0</v>
      </c>
      <c r="BI403" s="23">
        <v>12</v>
      </c>
      <c r="BJ403" s="24">
        <v>0</v>
      </c>
      <c r="BK403" s="23">
        <v>12</v>
      </c>
      <c r="BL403" s="24">
        <v>0</v>
      </c>
      <c r="BM403" s="20">
        <v>12</v>
      </c>
      <c r="BN403" s="19">
        <v>0</v>
      </c>
      <c r="BO403" s="23">
        <v>12</v>
      </c>
      <c r="BP403" s="24">
        <v>0</v>
      </c>
      <c r="BQ403" s="23">
        <v>12</v>
      </c>
      <c r="BR403" s="24">
        <v>0</v>
      </c>
      <c r="BS403" s="23">
        <v>12</v>
      </c>
      <c r="BT403" s="26">
        <v>0</v>
      </c>
      <c r="BU403" s="23">
        <v>12</v>
      </c>
      <c r="BV403" s="24">
        <v>0</v>
      </c>
      <c r="BW403" s="23">
        <v>12</v>
      </c>
      <c r="BX403" s="24">
        <v>0</v>
      </c>
      <c r="BY403" s="23">
        <v>12</v>
      </c>
      <c r="BZ403" s="24">
        <v>0</v>
      </c>
      <c r="CA403" s="23">
        <v>12</v>
      </c>
      <c r="CB403" s="24">
        <v>0</v>
      </c>
      <c r="CC403" s="23">
        <v>12</v>
      </c>
      <c r="CD403" s="24">
        <v>0</v>
      </c>
      <c r="CE403" s="23">
        <v>12</v>
      </c>
      <c r="CF403" s="24">
        <v>0</v>
      </c>
      <c r="CG403" s="20">
        <v>12</v>
      </c>
    </row>
    <row r="404" spans="1:85" x14ac:dyDescent="0.3">
      <c r="A404" t="s">
        <v>807</v>
      </c>
      <c r="B404">
        <v>21782</v>
      </c>
      <c r="C404" t="s">
        <v>808</v>
      </c>
      <c r="D404" s="19">
        <v>3937</v>
      </c>
      <c r="E404" s="20">
        <v>376</v>
      </c>
      <c r="F404" s="19">
        <v>304</v>
      </c>
      <c r="G404" s="23">
        <v>179</v>
      </c>
      <c r="H404" s="24">
        <v>22</v>
      </c>
      <c r="I404" s="23">
        <v>28</v>
      </c>
      <c r="J404" s="24">
        <v>15</v>
      </c>
      <c r="K404" s="23">
        <v>29</v>
      </c>
      <c r="L404" s="24">
        <v>7</v>
      </c>
      <c r="M404" s="23">
        <v>23</v>
      </c>
      <c r="N404" s="24">
        <v>194</v>
      </c>
      <c r="O404" s="23">
        <v>132</v>
      </c>
      <c r="P404" s="24">
        <v>184</v>
      </c>
      <c r="Q404" s="23">
        <v>135</v>
      </c>
      <c r="R404" s="24">
        <v>10</v>
      </c>
      <c r="S404" s="23">
        <v>27</v>
      </c>
      <c r="T404" s="24">
        <v>88</v>
      </c>
      <c r="U404" s="23">
        <v>68</v>
      </c>
      <c r="V404" s="24">
        <v>88</v>
      </c>
      <c r="W404" s="23">
        <v>68</v>
      </c>
      <c r="X404" s="24">
        <v>0</v>
      </c>
      <c r="Y404" s="20">
        <v>24</v>
      </c>
      <c r="Z404" s="19">
        <v>366</v>
      </c>
      <c r="AA404" s="23">
        <v>160</v>
      </c>
      <c r="AB404" s="24">
        <v>95</v>
      </c>
      <c r="AC404" s="23">
        <v>59</v>
      </c>
      <c r="AD404" s="24">
        <v>74</v>
      </c>
      <c r="AE404" s="23">
        <v>52</v>
      </c>
      <c r="AF404" s="24">
        <v>21</v>
      </c>
      <c r="AG404" s="23">
        <v>32</v>
      </c>
      <c r="AH404" s="24">
        <v>170</v>
      </c>
      <c r="AI404" s="23">
        <v>102</v>
      </c>
      <c r="AJ404" s="24">
        <v>139</v>
      </c>
      <c r="AK404" s="23">
        <v>92</v>
      </c>
      <c r="AL404" s="24">
        <v>31</v>
      </c>
      <c r="AM404" s="23">
        <v>28</v>
      </c>
      <c r="AN404" s="24">
        <v>101</v>
      </c>
      <c r="AO404" s="23">
        <v>70</v>
      </c>
      <c r="AP404" s="24">
        <v>101</v>
      </c>
      <c r="AQ404" s="23">
        <v>70</v>
      </c>
      <c r="AR404" s="24">
        <v>0</v>
      </c>
      <c r="AS404" s="20">
        <v>12</v>
      </c>
      <c r="AT404" s="19">
        <v>1403</v>
      </c>
      <c r="AU404" s="23">
        <v>339</v>
      </c>
      <c r="AV404" s="24">
        <v>402</v>
      </c>
      <c r="AW404" s="23">
        <v>160</v>
      </c>
      <c r="AX404" s="24">
        <v>402</v>
      </c>
      <c r="AY404" s="23">
        <v>160</v>
      </c>
      <c r="AZ404" s="24">
        <v>0</v>
      </c>
      <c r="BA404" s="23">
        <v>12</v>
      </c>
      <c r="BB404" s="24">
        <v>713</v>
      </c>
      <c r="BC404" s="23">
        <v>183</v>
      </c>
      <c r="BD404" s="24">
        <v>651</v>
      </c>
      <c r="BE404" s="23">
        <v>165</v>
      </c>
      <c r="BF404" s="24">
        <v>62</v>
      </c>
      <c r="BG404" s="23">
        <v>47</v>
      </c>
      <c r="BH404" s="24">
        <v>288</v>
      </c>
      <c r="BI404" s="23">
        <v>132</v>
      </c>
      <c r="BJ404" s="24">
        <v>288</v>
      </c>
      <c r="BK404" s="23">
        <v>132</v>
      </c>
      <c r="BL404" s="24">
        <v>0</v>
      </c>
      <c r="BM404" s="20">
        <v>12</v>
      </c>
      <c r="BN404" s="19">
        <v>1864</v>
      </c>
      <c r="BO404" s="23">
        <v>338</v>
      </c>
      <c r="BP404" s="24">
        <v>372</v>
      </c>
      <c r="BQ404" s="23">
        <v>121</v>
      </c>
      <c r="BR404" s="24">
        <v>372</v>
      </c>
      <c r="BS404" s="23">
        <v>121</v>
      </c>
      <c r="BT404" s="26">
        <v>0</v>
      </c>
      <c r="BU404" s="23">
        <v>12</v>
      </c>
      <c r="BV404" s="24">
        <v>1244</v>
      </c>
      <c r="BW404" s="23">
        <v>239</v>
      </c>
      <c r="BX404" s="24">
        <v>1232</v>
      </c>
      <c r="BY404" s="23">
        <v>239</v>
      </c>
      <c r="BZ404" s="24">
        <v>12</v>
      </c>
      <c r="CA404" s="23">
        <v>16</v>
      </c>
      <c r="CB404" s="24">
        <v>248</v>
      </c>
      <c r="CC404" s="23">
        <v>86</v>
      </c>
      <c r="CD404" s="24">
        <v>248</v>
      </c>
      <c r="CE404" s="23">
        <v>86</v>
      </c>
      <c r="CF404" s="24">
        <v>0</v>
      </c>
      <c r="CG404" s="20">
        <v>12</v>
      </c>
    </row>
    <row r="405" spans="1:85" x14ac:dyDescent="0.3">
      <c r="A405" t="s">
        <v>809</v>
      </c>
      <c r="B405">
        <v>21783</v>
      </c>
      <c r="C405" t="s">
        <v>810</v>
      </c>
      <c r="D405" s="19">
        <v>8724</v>
      </c>
      <c r="E405" s="20">
        <v>464</v>
      </c>
      <c r="F405" s="19">
        <v>787</v>
      </c>
      <c r="G405" s="23">
        <v>302</v>
      </c>
      <c r="H405" s="24">
        <v>278</v>
      </c>
      <c r="I405" s="23">
        <v>166</v>
      </c>
      <c r="J405" s="24">
        <v>278</v>
      </c>
      <c r="K405" s="23">
        <v>166</v>
      </c>
      <c r="L405" s="24">
        <v>0</v>
      </c>
      <c r="M405" s="23">
        <v>34</v>
      </c>
      <c r="N405" s="24">
        <v>332</v>
      </c>
      <c r="O405" s="23">
        <v>150</v>
      </c>
      <c r="P405" s="24">
        <v>269</v>
      </c>
      <c r="Q405" s="23">
        <v>127</v>
      </c>
      <c r="R405" s="24">
        <v>63</v>
      </c>
      <c r="S405" s="23">
        <v>67</v>
      </c>
      <c r="T405" s="24">
        <v>177</v>
      </c>
      <c r="U405" s="23">
        <v>97</v>
      </c>
      <c r="V405" s="24">
        <v>177</v>
      </c>
      <c r="W405" s="23">
        <v>97</v>
      </c>
      <c r="X405" s="24">
        <v>0</v>
      </c>
      <c r="Y405" s="20">
        <v>34</v>
      </c>
      <c r="Z405" s="19">
        <v>644</v>
      </c>
      <c r="AA405" s="23">
        <v>220</v>
      </c>
      <c r="AB405" s="24">
        <v>215</v>
      </c>
      <c r="AC405" s="23">
        <v>123</v>
      </c>
      <c r="AD405" s="24">
        <v>157</v>
      </c>
      <c r="AE405" s="23">
        <v>93</v>
      </c>
      <c r="AF405" s="24">
        <v>58</v>
      </c>
      <c r="AG405" s="23">
        <v>88</v>
      </c>
      <c r="AH405" s="24">
        <v>289</v>
      </c>
      <c r="AI405" s="23">
        <v>100</v>
      </c>
      <c r="AJ405" s="24">
        <v>232</v>
      </c>
      <c r="AK405" s="23">
        <v>89</v>
      </c>
      <c r="AL405" s="24">
        <v>57</v>
      </c>
      <c r="AM405" s="23">
        <v>42</v>
      </c>
      <c r="AN405" s="24">
        <v>140</v>
      </c>
      <c r="AO405" s="23">
        <v>61</v>
      </c>
      <c r="AP405" s="24">
        <v>140</v>
      </c>
      <c r="AQ405" s="23">
        <v>61</v>
      </c>
      <c r="AR405" s="24">
        <v>0</v>
      </c>
      <c r="AS405" s="20">
        <v>17</v>
      </c>
      <c r="AT405" s="19">
        <v>2955</v>
      </c>
      <c r="AU405" s="23">
        <v>406</v>
      </c>
      <c r="AV405" s="24">
        <v>906</v>
      </c>
      <c r="AW405" s="23">
        <v>176</v>
      </c>
      <c r="AX405" s="24">
        <v>891</v>
      </c>
      <c r="AY405" s="23">
        <v>176</v>
      </c>
      <c r="AZ405" s="24">
        <v>15</v>
      </c>
      <c r="BA405" s="23">
        <v>22</v>
      </c>
      <c r="BB405" s="24">
        <v>1475</v>
      </c>
      <c r="BC405" s="23">
        <v>238</v>
      </c>
      <c r="BD405" s="24">
        <v>1345</v>
      </c>
      <c r="BE405" s="23">
        <v>229</v>
      </c>
      <c r="BF405" s="24">
        <v>130</v>
      </c>
      <c r="BG405" s="23">
        <v>83</v>
      </c>
      <c r="BH405" s="24">
        <v>574</v>
      </c>
      <c r="BI405" s="23">
        <v>127</v>
      </c>
      <c r="BJ405" s="24">
        <v>574</v>
      </c>
      <c r="BK405" s="23">
        <v>127</v>
      </c>
      <c r="BL405" s="24">
        <v>0</v>
      </c>
      <c r="BM405" s="20">
        <v>17</v>
      </c>
      <c r="BN405" s="19">
        <v>4338</v>
      </c>
      <c r="BO405" s="23">
        <v>441</v>
      </c>
      <c r="BP405" s="24">
        <v>786</v>
      </c>
      <c r="BQ405" s="23">
        <v>199</v>
      </c>
      <c r="BR405" s="24">
        <v>692</v>
      </c>
      <c r="BS405" s="23">
        <v>156</v>
      </c>
      <c r="BT405" s="26">
        <v>94</v>
      </c>
      <c r="BU405" s="23">
        <v>144</v>
      </c>
      <c r="BV405" s="24">
        <v>3028</v>
      </c>
      <c r="BW405" s="23">
        <v>318</v>
      </c>
      <c r="BX405" s="24">
        <v>2876</v>
      </c>
      <c r="BY405" s="23">
        <v>320</v>
      </c>
      <c r="BZ405" s="24">
        <v>152</v>
      </c>
      <c r="CA405" s="23">
        <v>91</v>
      </c>
      <c r="CB405" s="24">
        <v>524</v>
      </c>
      <c r="CC405" s="23">
        <v>122</v>
      </c>
      <c r="CD405" s="24">
        <v>524</v>
      </c>
      <c r="CE405" s="23">
        <v>122</v>
      </c>
      <c r="CF405" s="24">
        <v>0</v>
      </c>
      <c r="CG405" s="20">
        <v>17</v>
      </c>
    </row>
    <row r="406" spans="1:85" x14ac:dyDescent="0.3">
      <c r="A406" t="s">
        <v>811</v>
      </c>
      <c r="B406">
        <v>21784</v>
      </c>
      <c r="C406" t="s">
        <v>812</v>
      </c>
      <c r="D406" s="19">
        <v>37985</v>
      </c>
      <c r="E406" s="20">
        <v>1057</v>
      </c>
      <c r="F406" s="19">
        <v>2139</v>
      </c>
      <c r="G406" s="23">
        <v>615</v>
      </c>
      <c r="H406" s="24">
        <v>552</v>
      </c>
      <c r="I406" s="23">
        <v>275</v>
      </c>
      <c r="J406" s="24">
        <v>552</v>
      </c>
      <c r="K406" s="23">
        <v>275</v>
      </c>
      <c r="L406" s="24">
        <v>0</v>
      </c>
      <c r="M406" s="23">
        <v>50</v>
      </c>
      <c r="N406" s="24">
        <v>1121</v>
      </c>
      <c r="O406" s="23">
        <v>364</v>
      </c>
      <c r="P406" s="24">
        <v>1016</v>
      </c>
      <c r="Q406" s="23">
        <v>342</v>
      </c>
      <c r="R406" s="24">
        <v>105</v>
      </c>
      <c r="S406" s="23">
        <v>75</v>
      </c>
      <c r="T406" s="24">
        <v>466</v>
      </c>
      <c r="U406" s="23">
        <v>200</v>
      </c>
      <c r="V406" s="24">
        <v>465</v>
      </c>
      <c r="W406" s="23">
        <v>200</v>
      </c>
      <c r="X406" s="24">
        <v>1</v>
      </c>
      <c r="Y406" s="20">
        <v>28</v>
      </c>
      <c r="Z406" s="19">
        <v>1823</v>
      </c>
      <c r="AA406" s="23">
        <v>472</v>
      </c>
      <c r="AB406" s="24">
        <v>546</v>
      </c>
      <c r="AC406" s="23">
        <v>241</v>
      </c>
      <c r="AD406" s="24">
        <v>546</v>
      </c>
      <c r="AE406" s="23">
        <v>241</v>
      </c>
      <c r="AF406" s="24">
        <v>0</v>
      </c>
      <c r="AG406" s="23">
        <v>25</v>
      </c>
      <c r="AH406" s="24">
        <v>830</v>
      </c>
      <c r="AI406" s="23">
        <v>249</v>
      </c>
      <c r="AJ406" s="24">
        <v>761</v>
      </c>
      <c r="AK406" s="23">
        <v>233</v>
      </c>
      <c r="AL406" s="24">
        <v>69</v>
      </c>
      <c r="AM406" s="23">
        <v>51</v>
      </c>
      <c r="AN406" s="24">
        <v>447</v>
      </c>
      <c r="AO406" s="23">
        <v>103</v>
      </c>
      <c r="AP406" s="24">
        <v>436</v>
      </c>
      <c r="AQ406" s="23">
        <v>100</v>
      </c>
      <c r="AR406" s="24">
        <v>11</v>
      </c>
      <c r="AS406" s="20">
        <v>17</v>
      </c>
      <c r="AT406" s="19">
        <v>7746</v>
      </c>
      <c r="AU406" s="23">
        <v>821</v>
      </c>
      <c r="AV406" s="24">
        <v>1937</v>
      </c>
      <c r="AW406" s="23">
        <v>381</v>
      </c>
      <c r="AX406" s="24">
        <v>1928</v>
      </c>
      <c r="AY406" s="23">
        <v>383</v>
      </c>
      <c r="AZ406" s="24">
        <v>9</v>
      </c>
      <c r="BA406" s="23">
        <v>14</v>
      </c>
      <c r="BB406" s="24">
        <v>4116</v>
      </c>
      <c r="BC406" s="23">
        <v>516</v>
      </c>
      <c r="BD406" s="24">
        <v>3841</v>
      </c>
      <c r="BE406" s="23">
        <v>486</v>
      </c>
      <c r="BF406" s="24">
        <v>275</v>
      </c>
      <c r="BG406" s="23">
        <v>114</v>
      </c>
      <c r="BH406" s="24">
        <v>1693</v>
      </c>
      <c r="BI406" s="23">
        <v>246</v>
      </c>
      <c r="BJ406" s="24">
        <v>1693</v>
      </c>
      <c r="BK406" s="23">
        <v>246</v>
      </c>
      <c r="BL406" s="24">
        <v>0</v>
      </c>
      <c r="BM406" s="20">
        <v>25</v>
      </c>
      <c r="BN406" s="19">
        <v>26277</v>
      </c>
      <c r="BO406" s="23">
        <v>1194</v>
      </c>
      <c r="BP406" s="24">
        <v>6288</v>
      </c>
      <c r="BQ406" s="23">
        <v>537</v>
      </c>
      <c r="BR406" s="24">
        <v>6235</v>
      </c>
      <c r="BS406" s="23">
        <v>540</v>
      </c>
      <c r="BT406" s="26">
        <v>53</v>
      </c>
      <c r="BU406" s="23">
        <v>52</v>
      </c>
      <c r="BV406" s="24">
        <v>17097</v>
      </c>
      <c r="BW406" s="23">
        <v>761</v>
      </c>
      <c r="BX406" s="24">
        <v>16750</v>
      </c>
      <c r="BY406" s="23">
        <v>738</v>
      </c>
      <c r="BZ406" s="24">
        <v>347</v>
      </c>
      <c r="CA406" s="23">
        <v>112</v>
      </c>
      <c r="CB406" s="24">
        <v>2892</v>
      </c>
      <c r="CC406" s="23">
        <v>259</v>
      </c>
      <c r="CD406" s="24">
        <v>2892</v>
      </c>
      <c r="CE406" s="23">
        <v>259</v>
      </c>
      <c r="CF406" s="24">
        <v>0</v>
      </c>
      <c r="CG406" s="20">
        <v>25</v>
      </c>
    </row>
    <row r="407" spans="1:85" x14ac:dyDescent="0.3">
      <c r="A407" t="s">
        <v>813</v>
      </c>
      <c r="B407">
        <v>21787</v>
      </c>
      <c r="C407" t="s">
        <v>814</v>
      </c>
      <c r="D407" s="19">
        <v>10136</v>
      </c>
      <c r="E407" s="20">
        <v>459</v>
      </c>
      <c r="F407" s="19">
        <v>1424</v>
      </c>
      <c r="G407" s="23">
        <v>567</v>
      </c>
      <c r="H407" s="24">
        <v>535</v>
      </c>
      <c r="I407" s="23">
        <v>309</v>
      </c>
      <c r="J407" s="24">
        <v>535</v>
      </c>
      <c r="K407" s="23">
        <v>309</v>
      </c>
      <c r="L407" s="24">
        <v>0</v>
      </c>
      <c r="M407" s="23">
        <v>38</v>
      </c>
      <c r="N407" s="24">
        <v>625</v>
      </c>
      <c r="O407" s="23">
        <v>280</v>
      </c>
      <c r="P407" s="24">
        <v>547</v>
      </c>
      <c r="Q407" s="23">
        <v>231</v>
      </c>
      <c r="R407" s="24">
        <v>78</v>
      </c>
      <c r="S407" s="23">
        <v>98</v>
      </c>
      <c r="T407" s="24">
        <v>264</v>
      </c>
      <c r="U407" s="23">
        <v>170</v>
      </c>
      <c r="V407" s="24">
        <v>264</v>
      </c>
      <c r="W407" s="23">
        <v>170</v>
      </c>
      <c r="X407" s="24">
        <v>0</v>
      </c>
      <c r="Y407" s="20">
        <v>38</v>
      </c>
      <c r="Z407" s="19">
        <v>947</v>
      </c>
      <c r="AA407" s="23">
        <v>474</v>
      </c>
      <c r="AB407" s="24">
        <v>288</v>
      </c>
      <c r="AC407" s="23">
        <v>208</v>
      </c>
      <c r="AD407" s="24">
        <v>278</v>
      </c>
      <c r="AE407" s="23">
        <v>204</v>
      </c>
      <c r="AF407" s="24">
        <v>10</v>
      </c>
      <c r="AG407" s="23">
        <v>15</v>
      </c>
      <c r="AH407" s="24">
        <v>526</v>
      </c>
      <c r="AI407" s="23">
        <v>271</v>
      </c>
      <c r="AJ407" s="24">
        <v>354</v>
      </c>
      <c r="AK407" s="23">
        <v>172</v>
      </c>
      <c r="AL407" s="24">
        <v>172</v>
      </c>
      <c r="AM407" s="23">
        <v>230</v>
      </c>
      <c r="AN407" s="24">
        <v>133</v>
      </c>
      <c r="AO407" s="23">
        <v>62</v>
      </c>
      <c r="AP407" s="24">
        <v>133</v>
      </c>
      <c r="AQ407" s="23">
        <v>62</v>
      </c>
      <c r="AR407" s="24">
        <v>0</v>
      </c>
      <c r="AS407" s="20">
        <v>19</v>
      </c>
      <c r="AT407" s="19">
        <v>3235</v>
      </c>
      <c r="AU407" s="23">
        <v>597</v>
      </c>
      <c r="AV407" s="24">
        <v>848</v>
      </c>
      <c r="AW407" s="23">
        <v>272</v>
      </c>
      <c r="AX407" s="24">
        <v>827</v>
      </c>
      <c r="AY407" s="23">
        <v>272</v>
      </c>
      <c r="AZ407" s="24">
        <v>21</v>
      </c>
      <c r="BA407" s="23">
        <v>24</v>
      </c>
      <c r="BB407" s="24">
        <v>1822</v>
      </c>
      <c r="BC407" s="23">
        <v>365</v>
      </c>
      <c r="BD407" s="24">
        <v>1667</v>
      </c>
      <c r="BE407" s="23">
        <v>328</v>
      </c>
      <c r="BF407" s="24">
        <v>155</v>
      </c>
      <c r="BG407" s="23">
        <v>96</v>
      </c>
      <c r="BH407" s="24">
        <v>565</v>
      </c>
      <c r="BI407" s="23">
        <v>141</v>
      </c>
      <c r="BJ407" s="24">
        <v>565</v>
      </c>
      <c r="BK407" s="23">
        <v>141</v>
      </c>
      <c r="BL407" s="24">
        <v>0</v>
      </c>
      <c r="BM407" s="20">
        <v>19</v>
      </c>
      <c r="BN407" s="19">
        <v>4530</v>
      </c>
      <c r="BO407" s="23">
        <v>614</v>
      </c>
      <c r="BP407" s="24">
        <v>679</v>
      </c>
      <c r="BQ407" s="23">
        <v>194</v>
      </c>
      <c r="BR407" s="24">
        <v>653</v>
      </c>
      <c r="BS407" s="23">
        <v>188</v>
      </c>
      <c r="BT407" s="26">
        <v>26</v>
      </c>
      <c r="BU407" s="23">
        <v>42</v>
      </c>
      <c r="BV407" s="24">
        <v>3090</v>
      </c>
      <c r="BW407" s="23">
        <v>516</v>
      </c>
      <c r="BX407" s="24">
        <v>2871</v>
      </c>
      <c r="BY407" s="23">
        <v>495</v>
      </c>
      <c r="BZ407" s="24">
        <v>219</v>
      </c>
      <c r="CA407" s="23">
        <v>122</v>
      </c>
      <c r="CB407" s="24">
        <v>761</v>
      </c>
      <c r="CC407" s="23">
        <v>217</v>
      </c>
      <c r="CD407" s="24">
        <v>761</v>
      </c>
      <c r="CE407" s="23">
        <v>217</v>
      </c>
      <c r="CF407" s="24">
        <v>0</v>
      </c>
      <c r="CG407" s="20">
        <v>19</v>
      </c>
    </row>
    <row r="408" spans="1:85" x14ac:dyDescent="0.3">
      <c r="A408" t="s">
        <v>815</v>
      </c>
      <c r="B408">
        <v>21788</v>
      </c>
      <c r="C408" t="s">
        <v>816</v>
      </c>
      <c r="D408" s="19">
        <v>11702</v>
      </c>
      <c r="E408" s="20">
        <v>489</v>
      </c>
      <c r="F408" s="19">
        <v>1241</v>
      </c>
      <c r="G408" s="23">
        <v>516</v>
      </c>
      <c r="H408" s="24">
        <v>356</v>
      </c>
      <c r="I408" s="23">
        <v>321</v>
      </c>
      <c r="J408" s="24">
        <v>356</v>
      </c>
      <c r="K408" s="23">
        <v>321</v>
      </c>
      <c r="L408" s="24">
        <v>0</v>
      </c>
      <c r="M408" s="23">
        <v>38</v>
      </c>
      <c r="N408" s="24">
        <v>695</v>
      </c>
      <c r="O408" s="23">
        <v>283</v>
      </c>
      <c r="P408" s="24">
        <v>480</v>
      </c>
      <c r="Q408" s="23">
        <v>192</v>
      </c>
      <c r="R408" s="24">
        <v>215</v>
      </c>
      <c r="S408" s="23">
        <v>203</v>
      </c>
      <c r="T408" s="24">
        <v>190</v>
      </c>
      <c r="U408" s="23">
        <v>111</v>
      </c>
      <c r="V408" s="24">
        <v>190</v>
      </c>
      <c r="W408" s="23">
        <v>111</v>
      </c>
      <c r="X408" s="24">
        <v>0</v>
      </c>
      <c r="Y408" s="20">
        <v>38</v>
      </c>
      <c r="Z408" s="19">
        <v>1311</v>
      </c>
      <c r="AA408" s="23">
        <v>382</v>
      </c>
      <c r="AB408" s="24">
        <v>484</v>
      </c>
      <c r="AC408" s="23">
        <v>204</v>
      </c>
      <c r="AD408" s="24">
        <v>452</v>
      </c>
      <c r="AE408" s="23">
        <v>202</v>
      </c>
      <c r="AF408" s="24">
        <v>32</v>
      </c>
      <c r="AG408" s="23">
        <v>50</v>
      </c>
      <c r="AH408" s="24">
        <v>642</v>
      </c>
      <c r="AI408" s="23">
        <v>201</v>
      </c>
      <c r="AJ408" s="24">
        <v>451</v>
      </c>
      <c r="AK408" s="23">
        <v>154</v>
      </c>
      <c r="AL408" s="24">
        <v>191</v>
      </c>
      <c r="AM408" s="23">
        <v>140</v>
      </c>
      <c r="AN408" s="24">
        <v>185</v>
      </c>
      <c r="AO408" s="23">
        <v>67</v>
      </c>
      <c r="AP408" s="24">
        <v>185</v>
      </c>
      <c r="AQ408" s="23">
        <v>67</v>
      </c>
      <c r="AR408" s="24">
        <v>0</v>
      </c>
      <c r="AS408" s="20">
        <v>19</v>
      </c>
      <c r="AT408" s="19">
        <v>3642</v>
      </c>
      <c r="AU408" s="23">
        <v>542</v>
      </c>
      <c r="AV408" s="24">
        <v>1005</v>
      </c>
      <c r="AW408" s="23">
        <v>241</v>
      </c>
      <c r="AX408" s="24">
        <v>994</v>
      </c>
      <c r="AY408" s="23">
        <v>238</v>
      </c>
      <c r="AZ408" s="24">
        <v>11</v>
      </c>
      <c r="BA408" s="23">
        <v>17</v>
      </c>
      <c r="BB408" s="24">
        <v>1943</v>
      </c>
      <c r="BC408" s="23">
        <v>316</v>
      </c>
      <c r="BD408" s="24">
        <v>1790</v>
      </c>
      <c r="BE408" s="23">
        <v>294</v>
      </c>
      <c r="BF408" s="24">
        <v>153</v>
      </c>
      <c r="BG408" s="23">
        <v>82</v>
      </c>
      <c r="BH408" s="24">
        <v>694</v>
      </c>
      <c r="BI408" s="23">
        <v>134</v>
      </c>
      <c r="BJ408" s="24">
        <v>694</v>
      </c>
      <c r="BK408" s="23">
        <v>134</v>
      </c>
      <c r="BL408" s="24">
        <v>0</v>
      </c>
      <c r="BM408" s="20">
        <v>19</v>
      </c>
      <c r="BN408" s="19">
        <v>5508</v>
      </c>
      <c r="BO408" s="23">
        <v>495</v>
      </c>
      <c r="BP408" s="24">
        <v>782</v>
      </c>
      <c r="BQ408" s="23">
        <v>199</v>
      </c>
      <c r="BR408" s="24">
        <v>756</v>
      </c>
      <c r="BS408" s="23">
        <v>199</v>
      </c>
      <c r="BT408" s="26">
        <v>26</v>
      </c>
      <c r="BU408" s="23">
        <v>27</v>
      </c>
      <c r="BV408" s="24">
        <v>3768</v>
      </c>
      <c r="BW408" s="23">
        <v>356</v>
      </c>
      <c r="BX408" s="24">
        <v>3597</v>
      </c>
      <c r="BY408" s="23">
        <v>348</v>
      </c>
      <c r="BZ408" s="24">
        <v>171</v>
      </c>
      <c r="CA408" s="23">
        <v>74</v>
      </c>
      <c r="CB408" s="24">
        <v>958</v>
      </c>
      <c r="CC408" s="23">
        <v>165</v>
      </c>
      <c r="CD408" s="24">
        <v>958</v>
      </c>
      <c r="CE408" s="23">
        <v>165</v>
      </c>
      <c r="CF408" s="24">
        <v>0</v>
      </c>
      <c r="CG408" s="20">
        <v>19</v>
      </c>
    </row>
    <row r="409" spans="1:85" x14ac:dyDescent="0.3">
      <c r="A409" t="s">
        <v>817</v>
      </c>
      <c r="B409">
        <v>21790</v>
      </c>
      <c r="C409" t="s">
        <v>818</v>
      </c>
      <c r="D409" s="19">
        <v>66</v>
      </c>
      <c r="E409" s="20">
        <v>34</v>
      </c>
      <c r="F409" s="19">
        <v>0</v>
      </c>
      <c r="G409" s="23">
        <v>24</v>
      </c>
      <c r="H409" s="24">
        <v>0</v>
      </c>
      <c r="I409" s="23">
        <v>24</v>
      </c>
      <c r="J409" s="24">
        <v>0</v>
      </c>
      <c r="K409" s="23">
        <v>24</v>
      </c>
      <c r="L409" s="24">
        <v>0</v>
      </c>
      <c r="M409" s="23">
        <v>24</v>
      </c>
      <c r="N409" s="24">
        <v>0</v>
      </c>
      <c r="O409" s="23">
        <v>24</v>
      </c>
      <c r="P409" s="24">
        <v>0</v>
      </c>
      <c r="Q409" s="23">
        <v>24</v>
      </c>
      <c r="R409" s="24">
        <v>0</v>
      </c>
      <c r="S409" s="23">
        <v>24</v>
      </c>
      <c r="T409" s="24">
        <v>0</v>
      </c>
      <c r="U409" s="23">
        <v>24</v>
      </c>
      <c r="V409" s="24">
        <v>0</v>
      </c>
      <c r="W409" s="23">
        <v>24</v>
      </c>
      <c r="X409" s="24">
        <v>0</v>
      </c>
      <c r="Y409" s="20">
        <v>24</v>
      </c>
      <c r="Z409" s="19">
        <v>9</v>
      </c>
      <c r="AA409" s="23">
        <v>15</v>
      </c>
      <c r="AB409" s="24">
        <v>0</v>
      </c>
      <c r="AC409" s="23">
        <v>12</v>
      </c>
      <c r="AD409" s="24">
        <v>0</v>
      </c>
      <c r="AE409" s="23">
        <v>12</v>
      </c>
      <c r="AF409" s="24">
        <v>0</v>
      </c>
      <c r="AG409" s="23">
        <v>12</v>
      </c>
      <c r="AH409" s="24">
        <v>0</v>
      </c>
      <c r="AI409" s="23">
        <v>12</v>
      </c>
      <c r="AJ409" s="24">
        <v>0</v>
      </c>
      <c r="AK409" s="23">
        <v>12</v>
      </c>
      <c r="AL409" s="24">
        <v>0</v>
      </c>
      <c r="AM409" s="23">
        <v>12</v>
      </c>
      <c r="AN409" s="24">
        <v>9</v>
      </c>
      <c r="AO409" s="23">
        <v>15</v>
      </c>
      <c r="AP409" s="24">
        <v>9</v>
      </c>
      <c r="AQ409" s="23">
        <v>15</v>
      </c>
      <c r="AR409" s="24">
        <v>0</v>
      </c>
      <c r="AS409" s="20">
        <v>12</v>
      </c>
      <c r="AT409" s="19">
        <v>40</v>
      </c>
      <c r="AU409" s="23">
        <v>36</v>
      </c>
      <c r="AV409" s="24">
        <v>0</v>
      </c>
      <c r="AW409" s="23">
        <v>12</v>
      </c>
      <c r="AX409" s="24">
        <v>0</v>
      </c>
      <c r="AY409" s="23">
        <v>12</v>
      </c>
      <c r="AZ409" s="24">
        <v>0</v>
      </c>
      <c r="BA409" s="23">
        <v>12</v>
      </c>
      <c r="BB409" s="24">
        <v>22</v>
      </c>
      <c r="BC409" s="23">
        <v>34</v>
      </c>
      <c r="BD409" s="24">
        <v>22</v>
      </c>
      <c r="BE409" s="23">
        <v>34</v>
      </c>
      <c r="BF409" s="24">
        <v>0</v>
      </c>
      <c r="BG409" s="23">
        <v>12</v>
      </c>
      <c r="BH409" s="24">
        <v>18</v>
      </c>
      <c r="BI409" s="23">
        <v>13</v>
      </c>
      <c r="BJ409" s="24">
        <v>18</v>
      </c>
      <c r="BK409" s="23">
        <v>13</v>
      </c>
      <c r="BL409" s="24">
        <v>0</v>
      </c>
      <c r="BM409" s="20">
        <v>12</v>
      </c>
      <c r="BN409" s="19">
        <v>17</v>
      </c>
      <c r="BO409" s="23">
        <v>20</v>
      </c>
      <c r="BP409" s="24">
        <v>0</v>
      </c>
      <c r="BQ409" s="23">
        <v>12</v>
      </c>
      <c r="BR409" s="24">
        <v>0</v>
      </c>
      <c r="BS409" s="23">
        <v>12</v>
      </c>
      <c r="BT409" s="26">
        <v>0</v>
      </c>
      <c r="BU409" s="23">
        <v>12</v>
      </c>
      <c r="BV409" s="24">
        <v>11</v>
      </c>
      <c r="BW409" s="23">
        <v>17</v>
      </c>
      <c r="BX409" s="24">
        <v>11</v>
      </c>
      <c r="BY409" s="23">
        <v>17</v>
      </c>
      <c r="BZ409" s="24">
        <v>0</v>
      </c>
      <c r="CA409" s="23">
        <v>12</v>
      </c>
      <c r="CB409" s="24">
        <v>6</v>
      </c>
      <c r="CC409" s="23">
        <v>10</v>
      </c>
      <c r="CD409" s="24">
        <v>6</v>
      </c>
      <c r="CE409" s="23">
        <v>10</v>
      </c>
      <c r="CF409" s="24">
        <v>0</v>
      </c>
      <c r="CG409" s="20">
        <v>12</v>
      </c>
    </row>
    <row r="410" spans="1:85" x14ac:dyDescent="0.3">
      <c r="A410" t="s">
        <v>819</v>
      </c>
      <c r="B410">
        <v>21791</v>
      </c>
      <c r="C410" t="s">
        <v>820</v>
      </c>
      <c r="D410" s="19">
        <v>5497</v>
      </c>
      <c r="E410" s="20">
        <v>526</v>
      </c>
      <c r="F410" s="19">
        <v>568</v>
      </c>
      <c r="G410" s="23">
        <v>276</v>
      </c>
      <c r="H410" s="24">
        <v>111</v>
      </c>
      <c r="I410" s="23">
        <v>87</v>
      </c>
      <c r="J410" s="24">
        <v>89</v>
      </c>
      <c r="K410" s="23">
        <v>80</v>
      </c>
      <c r="L410" s="24">
        <v>22</v>
      </c>
      <c r="M410" s="23">
        <v>42</v>
      </c>
      <c r="N410" s="24">
        <v>315</v>
      </c>
      <c r="O410" s="23">
        <v>177</v>
      </c>
      <c r="P410" s="24">
        <v>240</v>
      </c>
      <c r="Q410" s="23">
        <v>145</v>
      </c>
      <c r="R410" s="24">
        <v>75</v>
      </c>
      <c r="S410" s="23">
        <v>64</v>
      </c>
      <c r="T410" s="24">
        <v>142</v>
      </c>
      <c r="U410" s="23">
        <v>103</v>
      </c>
      <c r="V410" s="24">
        <v>142</v>
      </c>
      <c r="W410" s="23">
        <v>103</v>
      </c>
      <c r="X410" s="24">
        <v>0</v>
      </c>
      <c r="Y410" s="20">
        <v>34</v>
      </c>
      <c r="Z410" s="19">
        <v>422</v>
      </c>
      <c r="AA410" s="23">
        <v>147</v>
      </c>
      <c r="AB410" s="24">
        <v>70</v>
      </c>
      <c r="AC410" s="23">
        <v>59</v>
      </c>
      <c r="AD410" s="24">
        <v>70</v>
      </c>
      <c r="AE410" s="23">
        <v>59</v>
      </c>
      <c r="AF410" s="24">
        <v>0</v>
      </c>
      <c r="AG410" s="23">
        <v>17</v>
      </c>
      <c r="AH410" s="24">
        <v>211</v>
      </c>
      <c r="AI410" s="23">
        <v>96</v>
      </c>
      <c r="AJ410" s="24">
        <v>148</v>
      </c>
      <c r="AK410" s="23">
        <v>73</v>
      </c>
      <c r="AL410" s="24">
        <v>63</v>
      </c>
      <c r="AM410" s="23">
        <v>62</v>
      </c>
      <c r="AN410" s="24">
        <v>141</v>
      </c>
      <c r="AO410" s="23">
        <v>58</v>
      </c>
      <c r="AP410" s="24">
        <v>141</v>
      </c>
      <c r="AQ410" s="23">
        <v>58</v>
      </c>
      <c r="AR410" s="24">
        <v>0</v>
      </c>
      <c r="AS410" s="20">
        <v>17</v>
      </c>
      <c r="AT410" s="19">
        <v>1787</v>
      </c>
      <c r="AU410" s="23">
        <v>348</v>
      </c>
      <c r="AV410" s="24">
        <v>589</v>
      </c>
      <c r="AW410" s="23">
        <v>162</v>
      </c>
      <c r="AX410" s="24">
        <v>589</v>
      </c>
      <c r="AY410" s="23">
        <v>162</v>
      </c>
      <c r="AZ410" s="24">
        <v>0</v>
      </c>
      <c r="BA410" s="23">
        <v>17</v>
      </c>
      <c r="BB410" s="24">
        <v>900</v>
      </c>
      <c r="BC410" s="23">
        <v>194</v>
      </c>
      <c r="BD410" s="24">
        <v>842</v>
      </c>
      <c r="BE410" s="23">
        <v>194</v>
      </c>
      <c r="BF410" s="24">
        <v>58</v>
      </c>
      <c r="BG410" s="23">
        <v>42</v>
      </c>
      <c r="BH410" s="24">
        <v>298</v>
      </c>
      <c r="BI410" s="23">
        <v>84</v>
      </c>
      <c r="BJ410" s="24">
        <v>298</v>
      </c>
      <c r="BK410" s="23">
        <v>84</v>
      </c>
      <c r="BL410" s="24">
        <v>0</v>
      </c>
      <c r="BM410" s="20">
        <v>17</v>
      </c>
      <c r="BN410" s="19">
        <v>2720</v>
      </c>
      <c r="BO410" s="23">
        <v>397</v>
      </c>
      <c r="BP410" s="24">
        <v>447</v>
      </c>
      <c r="BQ410" s="23">
        <v>175</v>
      </c>
      <c r="BR410" s="24">
        <v>447</v>
      </c>
      <c r="BS410" s="23">
        <v>175</v>
      </c>
      <c r="BT410" s="26">
        <v>0</v>
      </c>
      <c r="BU410" s="23">
        <v>17</v>
      </c>
      <c r="BV410" s="24">
        <v>1713</v>
      </c>
      <c r="BW410" s="23">
        <v>283</v>
      </c>
      <c r="BX410" s="24">
        <v>1678</v>
      </c>
      <c r="BY410" s="23">
        <v>282</v>
      </c>
      <c r="BZ410" s="24">
        <v>35</v>
      </c>
      <c r="CA410" s="23">
        <v>32</v>
      </c>
      <c r="CB410" s="24">
        <v>560</v>
      </c>
      <c r="CC410" s="23">
        <v>136</v>
      </c>
      <c r="CD410" s="24">
        <v>560</v>
      </c>
      <c r="CE410" s="23">
        <v>136</v>
      </c>
      <c r="CF410" s="24">
        <v>0</v>
      </c>
      <c r="CG410" s="20">
        <v>17</v>
      </c>
    </row>
    <row r="411" spans="1:85" x14ac:dyDescent="0.3">
      <c r="A411" t="s">
        <v>821</v>
      </c>
      <c r="B411">
        <v>21793</v>
      </c>
      <c r="C411" t="s">
        <v>822</v>
      </c>
      <c r="D411" s="19">
        <v>9854</v>
      </c>
      <c r="E411" s="20">
        <v>408</v>
      </c>
      <c r="F411" s="19">
        <v>1398</v>
      </c>
      <c r="G411" s="23">
        <v>582</v>
      </c>
      <c r="H411" s="24">
        <v>497</v>
      </c>
      <c r="I411" s="23">
        <v>311</v>
      </c>
      <c r="J411" s="24">
        <v>473</v>
      </c>
      <c r="K411" s="23">
        <v>303</v>
      </c>
      <c r="L411" s="24">
        <v>24</v>
      </c>
      <c r="M411" s="23">
        <v>57</v>
      </c>
      <c r="N411" s="24">
        <v>741</v>
      </c>
      <c r="O411" s="23">
        <v>341</v>
      </c>
      <c r="P411" s="24">
        <v>468</v>
      </c>
      <c r="Q411" s="23">
        <v>227</v>
      </c>
      <c r="R411" s="24">
        <v>273</v>
      </c>
      <c r="S411" s="23">
        <v>294</v>
      </c>
      <c r="T411" s="24">
        <v>160</v>
      </c>
      <c r="U411" s="23">
        <v>106</v>
      </c>
      <c r="V411" s="24">
        <v>160</v>
      </c>
      <c r="W411" s="23">
        <v>106</v>
      </c>
      <c r="X411" s="24">
        <v>0</v>
      </c>
      <c r="Y411" s="20">
        <v>38</v>
      </c>
      <c r="Z411" s="19">
        <v>281</v>
      </c>
      <c r="AA411" s="23">
        <v>147</v>
      </c>
      <c r="AB411" s="24">
        <v>39</v>
      </c>
      <c r="AC411" s="23">
        <v>41</v>
      </c>
      <c r="AD411" s="24">
        <v>39</v>
      </c>
      <c r="AE411" s="23">
        <v>41</v>
      </c>
      <c r="AF411" s="24">
        <v>0</v>
      </c>
      <c r="AG411" s="23">
        <v>19</v>
      </c>
      <c r="AH411" s="24">
        <v>151</v>
      </c>
      <c r="AI411" s="23">
        <v>100</v>
      </c>
      <c r="AJ411" s="24">
        <v>151</v>
      </c>
      <c r="AK411" s="23">
        <v>100</v>
      </c>
      <c r="AL411" s="24">
        <v>0</v>
      </c>
      <c r="AM411" s="23">
        <v>19</v>
      </c>
      <c r="AN411" s="24">
        <v>91</v>
      </c>
      <c r="AO411" s="23">
        <v>48</v>
      </c>
      <c r="AP411" s="24">
        <v>91</v>
      </c>
      <c r="AQ411" s="23">
        <v>48</v>
      </c>
      <c r="AR411" s="24">
        <v>0</v>
      </c>
      <c r="AS411" s="20">
        <v>19</v>
      </c>
      <c r="AT411" s="19">
        <v>2758</v>
      </c>
      <c r="AU411" s="23">
        <v>473</v>
      </c>
      <c r="AV411" s="24">
        <v>960</v>
      </c>
      <c r="AW411" s="23">
        <v>243</v>
      </c>
      <c r="AX411" s="24">
        <v>950</v>
      </c>
      <c r="AY411" s="23">
        <v>241</v>
      </c>
      <c r="AZ411" s="24">
        <v>10</v>
      </c>
      <c r="BA411" s="23">
        <v>17</v>
      </c>
      <c r="BB411" s="24">
        <v>1367</v>
      </c>
      <c r="BC411" s="23">
        <v>271</v>
      </c>
      <c r="BD411" s="24">
        <v>1269</v>
      </c>
      <c r="BE411" s="23">
        <v>281</v>
      </c>
      <c r="BF411" s="24">
        <v>98</v>
      </c>
      <c r="BG411" s="23">
        <v>99</v>
      </c>
      <c r="BH411" s="24">
        <v>431</v>
      </c>
      <c r="BI411" s="23">
        <v>101</v>
      </c>
      <c r="BJ411" s="24">
        <v>431</v>
      </c>
      <c r="BK411" s="23">
        <v>101</v>
      </c>
      <c r="BL411" s="24">
        <v>0</v>
      </c>
      <c r="BM411" s="20">
        <v>19</v>
      </c>
      <c r="BN411" s="19">
        <v>5417</v>
      </c>
      <c r="BO411" s="23">
        <v>435</v>
      </c>
      <c r="BP411" s="24">
        <v>1084</v>
      </c>
      <c r="BQ411" s="23">
        <v>211</v>
      </c>
      <c r="BR411" s="24">
        <v>1055</v>
      </c>
      <c r="BS411" s="23">
        <v>209</v>
      </c>
      <c r="BT411" s="26">
        <v>29</v>
      </c>
      <c r="BU411" s="23">
        <v>32</v>
      </c>
      <c r="BV411" s="24">
        <v>3556</v>
      </c>
      <c r="BW411" s="23">
        <v>288</v>
      </c>
      <c r="BX411" s="24">
        <v>3419</v>
      </c>
      <c r="BY411" s="23">
        <v>290</v>
      </c>
      <c r="BZ411" s="24">
        <v>137</v>
      </c>
      <c r="CA411" s="23">
        <v>88</v>
      </c>
      <c r="CB411" s="24">
        <v>777</v>
      </c>
      <c r="CC411" s="23">
        <v>127</v>
      </c>
      <c r="CD411" s="24">
        <v>777</v>
      </c>
      <c r="CE411" s="23">
        <v>127</v>
      </c>
      <c r="CF411" s="24">
        <v>0</v>
      </c>
      <c r="CG411" s="20">
        <v>19</v>
      </c>
    </row>
    <row r="412" spans="1:85" x14ac:dyDescent="0.3">
      <c r="A412" t="s">
        <v>823</v>
      </c>
      <c r="B412">
        <v>21794</v>
      </c>
      <c r="C412" t="s">
        <v>824</v>
      </c>
      <c r="D412" s="19">
        <v>2472</v>
      </c>
      <c r="E412" s="20">
        <v>394</v>
      </c>
      <c r="F412" s="19">
        <v>28</v>
      </c>
      <c r="G412" s="23">
        <v>38</v>
      </c>
      <c r="H412" s="24">
        <v>0</v>
      </c>
      <c r="I412" s="23">
        <v>24</v>
      </c>
      <c r="J412" s="24">
        <v>0</v>
      </c>
      <c r="K412" s="23">
        <v>24</v>
      </c>
      <c r="L412" s="24">
        <v>0</v>
      </c>
      <c r="M412" s="23">
        <v>24</v>
      </c>
      <c r="N412" s="24">
        <v>21</v>
      </c>
      <c r="O412" s="23">
        <v>40</v>
      </c>
      <c r="P412" s="24">
        <v>9</v>
      </c>
      <c r="Q412" s="23">
        <v>33</v>
      </c>
      <c r="R412" s="24">
        <v>12</v>
      </c>
      <c r="S412" s="23">
        <v>31</v>
      </c>
      <c r="T412" s="24">
        <v>7</v>
      </c>
      <c r="U412" s="23">
        <v>27</v>
      </c>
      <c r="V412" s="24">
        <v>7</v>
      </c>
      <c r="W412" s="23">
        <v>27</v>
      </c>
      <c r="X412" s="24">
        <v>0</v>
      </c>
      <c r="Y412" s="20">
        <v>24</v>
      </c>
      <c r="Z412" s="19">
        <v>0</v>
      </c>
      <c r="AA412" s="23">
        <v>12</v>
      </c>
      <c r="AB412" s="24">
        <v>0</v>
      </c>
      <c r="AC412" s="23">
        <v>12</v>
      </c>
      <c r="AD412" s="24">
        <v>0</v>
      </c>
      <c r="AE412" s="23">
        <v>12</v>
      </c>
      <c r="AF412" s="24">
        <v>0</v>
      </c>
      <c r="AG412" s="23">
        <v>12</v>
      </c>
      <c r="AH412" s="24">
        <v>0</v>
      </c>
      <c r="AI412" s="23">
        <v>12</v>
      </c>
      <c r="AJ412" s="24">
        <v>0</v>
      </c>
      <c r="AK412" s="23">
        <v>12</v>
      </c>
      <c r="AL412" s="24">
        <v>0</v>
      </c>
      <c r="AM412" s="23">
        <v>12</v>
      </c>
      <c r="AN412" s="24">
        <v>0</v>
      </c>
      <c r="AO412" s="23">
        <v>12</v>
      </c>
      <c r="AP412" s="24">
        <v>0</v>
      </c>
      <c r="AQ412" s="23">
        <v>12</v>
      </c>
      <c r="AR412" s="24">
        <v>0</v>
      </c>
      <c r="AS412" s="20">
        <v>12</v>
      </c>
      <c r="AT412" s="19">
        <v>169</v>
      </c>
      <c r="AU412" s="23">
        <v>117</v>
      </c>
      <c r="AV412" s="24">
        <v>26</v>
      </c>
      <c r="AW412" s="23">
        <v>43</v>
      </c>
      <c r="AX412" s="24">
        <v>26</v>
      </c>
      <c r="AY412" s="23">
        <v>43</v>
      </c>
      <c r="AZ412" s="24">
        <v>0</v>
      </c>
      <c r="BA412" s="23">
        <v>12</v>
      </c>
      <c r="BB412" s="24">
        <v>96</v>
      </c>
      <c r="BC412" s="23">
        <v>59</v>
      </c>
      <c r="BD412" s="24">
        <v>89</v>
      </c>
      <c r="BE412" s="23">
        <v>58</v>
      </c>
      <c r="BF412" s="24">
        <v>7</v>
      </c>
      <c r="BG412" s="23">
        <v>11</v>
      </c>
      <c r="BH412" s="24">
        <v>47</v>
      </c>
      <c r="BI412" s="23">
        <v>75</v>
      </c>
      <c r="BJ412" s="24">
        <v>47</v>
      </c>
      <c r="BK412" s="23">
        <v>75</v>
      </c>
      <c r="BL412" s="24">
        <v>0</v>
      </c>
      <c r="BM412" s="20">
        <v>12</v>
      </c>
      <c r="BN412" s="19">
        <v>2275</v>
      </c>
      <c r="BO412" s="23">
        <v>396</v>
      </c>
      <c r="BP412" s="24">
        <v>588</v>
      </c>
      <c r="BQ412" s="23">
        <v>191</v>
      </c>
      <c r="BR412" s="24">
        <v>588</v>
      </c>
      <c r="BS412" s="23">
        <v>191</v>
      </c>
      <c r="BT412" s="26">
        <v>0</v>
      </c>
      <c r="BU412" s="23">
        <v>12</v>
      </c>
      <c r="BV412" s="24">
        <v>1354</v>
      </c>
      <c r="BW412" s="23">
        <v>282</v>
      </c>
      <c r="BX412" s="24">
        <v>1343</v>
      </c>
      <c r="BY412" s="23">
        <v>286</v>
      </c>
      <c r="BZ412" s="24">
        <v>11</v>
      </c>
      <c r="CA412" s="23">
        <v>17</v>
      </c>
      <c r="CB412" s="24">
        <v>333</v>
      </c>
      <c r="CC412" s="23">
        <v>168</v>
      </c>
      <c r="CD412" s="24">
        <v>333</v>
      </c>
      <c r="CE412" s="23">
        <v>168</v>
      </c>
      <c r="CF412" s="24">
        <v>0</v>
      </c>
      <c r="CG412" s="20">
        <v>12</v>
      </c>
    </row>
    <row r="413" spans="1:85" x14ac:dyDescent="0.3">
      <c r="A413" t="s">
        <v>825</v>
      </c>
      <c r="B413">
        <v>21795</v>
      </c>
      <c r="C413" t="s">
        <v>826</v>
      </c>
      <c r="D413" s="19">
        <v>8789</v>
      </c>
      <c r="E413" s="20">
        <v>564</v>
      </c>
      <c r="F413" s="19">
        <v>900</v>
      </c>
      <c r="G413" s="23">
        <v>342</v>
      </c>
      <c r="H413" s="24">
        <v>222</v>
      </c>
      <c r="I413" s="23">
        <v>164</v>
      </c>
      <c r="J413" s="24">
        <v>182</v>
      </c>
      <c r="K413" s="23">
        <v>145</v>
      </c>
      <c r="L413" s="24">
        <v>40</v>
      </c>
      <c r="M413" s="23">
        <v>90</v>
      </c>
      <c r="N413" s="24">
        <v>473</v>
      </c>
      <c r="O413" s="23">
        <v>189</v>
      </c>
      <c r="P413" s="24">
        <v>363</v>
      </c>
      <c r="Q413" s="23">
        <v>164</v>
      </c>
      <c r="R413" s="24">
        <v>110</v>
      </c>
      <c r="S413" s="23">
        <v>79</v>
      </c>
      <c r="T413" s="24">
        <v>205</v>
      </c>
      <c r="U413" s="23">
        <v>98</v>
      </c>
      <c r="V413" s="24">
        <v>205</v>
      </c>
      <c r="W413" s="23">
        <v>98</v>
      </c>
      <c r="X413" s="24">
        <v>0</v>
      </c>
      <c r="Y413" s="20">
        <v>34</v>
      </c>
      <c r="Z413" s="19">
        <v>1031</v>
      </c>
      <c r="AA413" s="23">
        <v>351</v>
      </c>
      <c r="AB413" s="24">
        <v>199</v>
      </c>
      <c r="AC413" s="23">
        <v>118</v>
      </c>
      <c r="AD413" s="24">
        <v>168</v>
      </c>
      <c r="AE413" s="23">
        <v>99</v>
      </c>
      <c r="AF413" s="24">
        <v>31</v>
      </c>
      <c r="AG413" s="23">
        <v>36</v>
      </c>
      <c r="AH413" s="24">
        <v>537</v>
      </c>
      <c r="AI413" s="23">
        <v>228</v>
      </c>
      <c r="AJ413" s="24">
        <v>516</v>
      </c>
      <c r="AK413" s="23">
        <v>221</v>
      </c>
      <c r="AL413" s="24">
        <v>21</v>
      </c>
      <c r="AM413" s="23">
        <v>33</v>
      </c>
      <c r="AN413" s="24">
        <v>295</v>
      </c>
      <c r="AO413" s="23">
        <v>114</v>
      </c>
      <c r="AP413" s="24">
        <v>295</v>
      </c>
      <c r="AQ413" s="23">
        <v>114</v>
      </c>
      <c r="AR413" s="24">
        <v>0</v>
      </c>
      <c r="AS413" s="20">
        <v>17</v>
      </c>
      <c r="AT413" s="19">
        <v>2978</v>
      </c>
      <c r="AU413" s="23">
        <v>438</v>
      </c>
      <c r="AV413" s="24">
        <v>612</v>
      </c>
      <c r="AW413" s="23">
        <v>184</v>
      </c>
      <c r="AX413" s="24">
        <v>612</v>
      </c>
      <c r="AY413" s="23">
        <v>184</v>
      </c>
      <c r="AZ413" s="24">
        <v>0</v>
      </c>
      <c r="BA413" s="23">
        <v>17</v>
      </c>
      <c r="BB413" s="24">
        <v>1548</v>
      </c>
      <c r="BC413" s="23">
        <v>293</v>
      </c>
      <c r="BD413" s="24">
        <v>1381</v>
      </c>
      <c r="BE413" s="23">
        <v>252</v>
      </c>
      <c r="BF413" s="24">
        <v>167</v>
      </c>
      <c r="BG413" s="23">
        <v>121</v>
      </c>
      <c r="BH413" s="24">
        <v>818</v>
      </c>
      <c r="BI413" s="23">
        <v>134</v>
      </c>
      <c r="BJ413" s="24">
        <v>818</v>
      </c>
      <c r="BK413" s="23">
        <v>134</v>
      </c>
      <c r="BL413" s="24">
        <v>0</v>
      </c>
      <c r="BM413" s="20">
        <v>17</v>
      </c>
      <c r="BN413" s="19">
        <v>3880</v>
      </c>
      <c r="BO413" s="23">
        <v>590</v>
      </c>
      <c r="BP413" s="24">
        <v>694</v>
      </c>
      <c r="BQ413" s="23">
        <v>211</v>
      </c>
      <c r="BR413" s="24">
        <v>688</v>
      </c>
      <c r="BS413" s="23">
        <v>210</v>
      </c>
      <c r="BT413" s="26">
        <v>6</v>
      </c>
      <c r="BU413" s="23">
        <v>8</v>
      </c>
      <c r="BV413" s="24">
        <v>2549</v>
      </c>
      <c r="BW413" s="23">
        <v>380</v>
      </c>
      <c r="BX413" s="24">
        <v>2461</v>
      </c>
      <c r="BY413" s="23">
        <v>378</v>
      </c>
      <c r="BZ413" s="24">
        <v>88</v>
      </c>
      <c r="CA413" s="23">
        <v>56</v>
      </c>
      <c r="CB413" s="24">
        <v>637</v>
      </c>
      <c r="CC413" s="23">
        <v>169</v>
      </c>
      <c r="CD413" s="24">
        <v>637</v>
      </c>
      <c r="CE413" s="23">
        <v>169</v>
      </c>
      <c r="CF413" s="24">
        <v>0</v>
      </c>
      <c r="CG413" s="20">
        <v>17</v>
      </c>
    </row>
    <row r="414" spans="1:85" x14ac:dyDescent="0.3">
      <c r="A414" t="s">
        <v>827</v>
      </c>
      <c r="B414">
        <v>21797</v>
      </c>
      <c r="C414" t="s">
        <v>828</v>
      </c>
      <c r="D414" s="19">
        <v>8278</v>
      </c>
      <c r="E414" s="20">
        <v>719</v>
      </c>
      <c r="F414" s="19">
        <v>358</v>
      </c>
      <c r="G414" s="23">
        <v>272</v>
      </c>
      <c r="H414" s="24">
        <v>78</v>
      </c>
      <c r="I414" s="23">
        <v>101</v>
      </c>
      <c r="J414" s="24">
        <v>78</v>
      </c>
      <c r="K414" s="23">
        <v>101</v>
      </c>
      <c r="L414" s="24">
        <v>0</v>
      </c>
      <c r="M414" s="23">
        <v>34</v>
      </c>
      <c r="N414" s="24">
        <v>138</v>
      </c>
      <c r="O414" s="23">
        <v>109</v>
      </c>
      <c r="P414" s="24">
        <v>126</v>
      </c>
      <c r="Q414" s="23">
        <v>106</v>
      </c>
      <c r="R414" s="24">
        <v>12</v>
      </c>
      <c r="S414" s="23">
        <v>33</v>
      </c>
      <c r="T414" s="24">
        <v>142</v>
      </c>
      <c r="U414" s="23">
        <v>174</v>
      </c>
      <c r="V414" s="24">
        <v>142</v>
      </c>
      <c r="W414" s="23">
        <v>174</v>
      </c>
      <c r="X414" s="24">
        <v>0</v>
      </c>
      <c r="Y414" s="20">
        <v>34</v>
      </c>
      <c r="Z414" s="19">
        <v>363</v>
      </c>
      <c r="AA414" s="23">
        <v>230</v>
      </c>
      <c r="AB414" s="24">
        <v>120</v>
      </c>
      <c r="AC414" s="23">
        <v>114</v>
      </c>
      <c r="AD414" s="24">
        <v>102</v>
      </c>
      <c r="AE414" s="23">
        <v>95</v>
      </c>
      <c r="AF414" s="24">
        <v>18</v>
      </c>
      <c r="AG414" s="23">
        <v>28</v>
      </c>
      <c r="AH414" s="24">
        <v>148</v>
      </c>
      <c r="AI414" s="23">
        <v>115</v>
      </c>
      <c r="AJ414" s="24">
        <v>109</v>
      </c>
      <c r="AK414" s="23">
        <v>99</v>
      </c>
      <c r="AL414" s="24">
        <v>39</v>
      </c>
      <c r="AM414" s="23">
        <v>44</v>
      </c>
      <c r="AN414" s="24">
        <v>95</v>
      </c>
      <c r="AO414" s="23">
        <v>59</v>
      </c>
      <c r="AP414" s="24">
        <v>95</v>
      </c>
      <c r="AQ414" s="23">
        <v>59</v>
      </c>
      <c r="AR414" s="24">
        <v>0</v>
      </c>
      <c r="AS414" s="20">
        <v>17</v>
      </c>
      <c r="AT414" s="19">
        <v>1396</v>
      </c>
      <c r="AU414" s="23">
        <v>466</v>
      </c>
      <c r="AV414" s="24">
        <v>384</v>
      </c>
      <c r="AW414" s="23">
        <v>184</v>
      </c>
      <c r="AX414" s="24">
        <v>363</v>
      </c>
      <c r="AY414" s="23">
        <v>183</v>
      </c>
      <c r="AZ414" s="24">
        <v>21</v>
      </c>
      <c r="BA414" s="23">
        <v>31</v>
      </c>
      <c r="BB414" s="24">
        <v>777</v>
      </c>
      <c r="BC414" s="23">
        <v>273</v>
      </c>
      <c r="BD414" s="24">
        <v>740</v>
      </c>
      <c r="BE414" s="23">
        <v>265</v>
      </c>
      <c r="BF414" s="24">
        <v>37</v>
      </c>
      <c r="BG414" s="23">
        <v>37</v>
      </c>
      <c r="BH414" s="24">
        <v>235</v>
      </c>
      <c r="BI414" s="23">
        <v>108</v>
      </c>
      <c r="BJ414" s="24">
        <v>235</v>
      </c>
      <c r="BK414" s="23">
        <v>108</v>
      </c>
      <c r="BL414" s="24">
        <v>0</v>
      </c>
      <c r="BM414" s="20">
        <v>17</v>
      </c>
      <c r="BN414" s="19">
        <v>6161</v>
      </c>
      <c r="BO414" s="23">
        <v>733</v>
      </c>
      <c r="BP414" s="24">
        <v>1341</v>
      </c>
      <c r="BQ414" s="23">
        <v>305</v>
      </c>
      <c r="BR414" s="24">
        <v>1332</v>
      </c>
      <c r="BS414" s="23">
        <v>303</v>
      </c>
      <c r="BT414" s="26">
        <v>9</v>
      </c>
      <c r="BU414" s="23">
        <v>15</v>
      </c>
      <c r="BV414" s="24">
        <v>3816</v>
      </c>
      <c r="BW414" s="23">
        <v>470</v>
      </c>
      <c r="BX414" s="24">
        <v>3641</v>
      </c>
      <c r="BY414" s="23">
        <v>456</v>
      </c>
      <c r="BZ414" s="24">
        <v>175</v>
      </c>
      <c r="CA414" s="23">
        <v>91</v>
      </c>
      <c r="CB414" s="24">
        <v>1004</v>
      </c>
      <c r="CC414" s="23">
        <v>225</v>
      </c>
      <c r="CD414" s="24">
        <v>1004</v>
      </c>
      <c r="CE414" s="23">
        <v>225</v>
      </c>
      <c r="CF414" s="24">
        <v>0</v>
      </c>
      <c r="CG414" s="20">
        <v>17</v>
      </c>
    </row>
    <row r="415" spans="1:85" x14ac:dyDescent="0.3">
      <c r="A415" t="s">
        <v>829</v>
      </c>
      <c r="B415">
        <v>21798</v>
      </c>
      <c r="C415" t="s">
        <v>830</v>
      </c>
      <c r="D415" s="19">
        <v>1862</v>
      </c>
      <c r="E415" s="20">
        <v>215</v>
      </c>
      <c r="F415" s="19">
        <v>258</v>
      </c>
      <c r="G415" s="23">
        <v>195</v>
      </c>
      <c r="H415" s="24">
        <v>78</v>
      </c>
      <c r="I415" s="23">
        <v>104</v>
      </c>
      <c r="J415" s="24">
        <v>78</v>
      </c>
      <c r="K415" s="23">
        <v>104</v>
      </c>
      <c r="L415" s="24">
        <v>0</v>
      </c>
      <c r="M415" s="23">
        <v>24</v>
      </c>
      <c r="N415" s="24">
        <v>122</v>
      </c>
      <c r="O415" s="23">
        <v>92</v>
      </c>
      <c r="P415" s="24">
        <v>117</v>
      </c>
      <c r="Q415" s="23">
        <v>86</v>
      </c>
      <c r="R415" s="24">
        <v>5</v>
      </c>
      <c r="S415" s="23">
        <v>23</v>
      </c>
      <c r="T415" s="24">
        <v>58</v>
      </c>
      <c r="U415" s="23">
        <v>45</v>
      </c>
      <c r="V415" s="24">
        <v>58</v>
      </c>
      <c r="W415" s="23">
        <v>45</v>
      </c>
      <c r="X415" s="24">
        <v>0</v>
      </c>
      <c r="Y415" s="20">
        <v>24</v>
      </c>
      <c r="Z415" s="19">
        <v>142</v>
      </c>
      <c r="AA415" s="23">
        <v>65</v>
      </c>
      <c r="AB415" s="24">
        <v>29</v>
      </c>
      <c r="AC415" s="23">
        <v>32</v>
      </c>
      <c r="AD415" s="24">
        <v>29</v>
      </c>
      <c r="AE415" s="23">
        <v>32</v>
      </c>
      <c r="AF415" s="24">
        <v>0</v>
      </c>
      <c r="AG415" s="23">
        <v>12</v>
      </c>
      <c r="AH415" s="24">
        <v>83</v>
      </c>
      <c r="AI415" s="23">
        <v>46</v>
      </c>
      <c r="AJ415" s="24">
        <v>80</v>
      </c>
      <c r="AK415" s="23">
        <v>45</v>
      </c>
      <c r="AL415" s="24">
        <v>3</v>
      </c>
      <c r="AM415" s="23">
        <v>4</v>
      </c>
      <c r="AN415" s="24">
        <v>30</v>
      </c>
      <c r="AO415" s="23">
        <v>23</v>
      </c>
      <c r="AP415" s="24">
        <v>30</v>
      </c>
      <c r="AQ415" s="23">
        <v>23</v>
      </c>
      <c r="AR415" s="24">
        <v>0</v>
      </c>
      <c r="AS415" s="20">
        <v>12</v>
      </c>
      <c r="AT415" s="19">
        <v>253</v>
      </c>
      <c r="AU415" s="23">
        <v>73</v>
      </c>
      <c r="AV415" s="24">
        <v>38</v>
      </c>
      <c r="AW415" s="23">
        <v>20</v>
      </c>
      <c r="AX415" s="24">
        <v>38</v>
      </c>
      <c r="AY415" s="23">
        <v>20</v>
      </c>
      <c r="AZ415" s="24">
        <v>0</v>
      </c>
      <c r="BA415" s="23">
        <v>12</v>
      </c>
      <c r="BB415" s="24">
        <v>177</v>
      </c>
      <c r="BC415" s="23">
        <v>59</v>
      </c>
      <c r="BD415" s="24">
        <v>163</v>
      </c>
      <c r="BE415" s="23">
        <v>55</v>
      </c>
      <c r="BF415" s="24">
        <v>14</v>
      </c>
      <c r="BG415" s="23">
        <v>17</v>
      </c>
      <c r="BH415" s="24">
        <v>38</v>
      </c>
      <c r="BI415" s="23">
        <v>25</v>
      </c>
      <c r="BJ415" s="24">
        <v>38</v>
      </c>
      <c r="BK415" s="23">
        <v>25</v>
      </c>
      <c r="BL415" s="24">
        <v>0</v>
      </c>
      <c r="BM415" s="20">
        <v>12</v>
      </c>
      <c r="BN415" s="19">
        <v>1209</v>
      </c>
      <c r="BO415" s="23">
        <v>231</v>
      </c>
      <c r="BP415" s="24">
        <v>274</v>
      </c>
      <c r="BQ415" s="23">
        <v>95</v>
      </c>
      <c r="BR415" s="24">
        <v>255</v>
      </c>
      <c r="BS415" s="23">
        <v>93</v>
      </c>
      <c r="BT415" s="26">
        <v>19</v>
      </c>
      <c r="BU415" s="23">
        <v>25</v>
      </c>
      <c r="BV415" s="24">
        <v>764</v>
      </c>
      <c r="BW415" s="23">
        <v>130</v>
      </c>
      <c r="BX415" s="24">
        <v>722</v>
      </c>
      <c r="BY415" s="23">
        <v>131</v>
      </c>
      <c r="BZ415" s="24">
        <v>42</v>
      </c>
      <c r="CA415" s="23">
        <v>33</v>
      </c>
      <c r="CB415" s="24">
        <v>171</v>
      </c>
      <c r="CC415" s="23">
        <v>69</v>
      </c>
      <c r="CD415" s="24">
        <v>171</v>
      </c>
      <c r="CE415" s="23">
        <v>69</v>
      </c>
      <c r="CF415" s="24">
        <v>0</v>
      </c>
      <c r="CG415" s="20">
        <v>12</v>
      </c>
    </row>
    <row r="416" spans="1:85" x14ac:dyDescent="0.3">
      <c r="A416" t="s">
        <v>831</v>
      </c>
      <c r="B416">
        <v>21801</v>
      </c>
      <c r="C416" t="s">
        <v>832</v>
      </c>
      <c r="D416" s="19">
        <v>28044</v>
      </c>
      <c r="E416" s="20">
        <v>1092</v>
      </c>
      <c r="F416" s="19">
        <v>6416</v>
      </c>
      <c r="G416" s="23">
        <v>1452</v>
      </c>
      <c r="H416" s="24">
        <v>2325</v>
      </c>
      <c r="I416" s="23">
        <v>875</v>
      </c>
      <c r="J416" s="24">
        <v>2241</v>
      </c>
      <c r="K416" s="23">
        <v>862</v>
      </c>
      <c r="L416" s="24">
        <v>84</v>
      </c>
      <c r="M416" s="23">
        <v>113</v>
      </c>
      <c r="N416" s="24">
        <v>3339</v>
      </c>
      <c r="O416" s="23">
        <v>709</v>
      </c>
      <c r="P416" s="24">
        <v>2830</v>
      </c>
      <c r="Q416" s="23">
        <v>658</v>
      </c>
      <c r="R416" s="24">
        <v>509</v>
      </c>
      <c r="S416" s="23">
        <v>250</v>
      </c>
      <c r="T416" s="24">
        <v>752</v>
      </c>
      <c r="U416" s="23">
        <v>250</v>
      </c>
      <c r="V416" s="24">
        <v>717</v>
      </c>
      <c r="W416" s="23">
        <v>241</v>
      </c>
      <c r="X416" s="24">
        <v>35</v>
      </c>
      <c r="Y416" s="20">
        <v>70</v>
      </c>
      <c r="Z416" s="19">
        <v>3081</v>
      </c>
      <c r="AA416" s="23">
        <v>790</v>
      </c>
      <c r="AB416" s="24">
        <v>1017</v>
      </c>
      <c r="AC416" s="23">
        <v>413</v>
      </c>
      <c r="AD416" s="24">
        <v>975</v>
      </c>
      <c r="AE416" s="23">
        <v>409</v>
      </c>
      <c r="AF416" s="24">
        <v>42</v>
      </c>
      <c r="AG416" s="23">
        <v>48</v>
      </c>
      <c r="AH416" s="24">
        <v>1460</v>
      </c>
      <c r="AI416" s="23">
        <v>414</v>
      </c>
      <c r="AJ416" s="24">
        <v>1107</v>
      </c>
      <c r="AK416" s="23">
        <v>302</v>
      </c>
      <c r="AL416" s="24">
        <v>353</v>
      </c>
      <c r="AM416" s="23">
        <v>182</v>
      </c>
      <c r="AN416" s="24">
        <v>604</v>
      </c>
      <c r="AO416" s="23">
        <v>186</v>
      </c>
      <c r="AP416" s="24">
        <v>604</v>
      </c>
      <c r="AQ416" s="23">
        <v>186</v>
      </c>
      <c r="AR416" s="24">
        <v>0</v>
      </c>
      <c r="AS416" s="20">
        <v>25</v>
      </c>
      <c r="AT416" s="19">
        <v>6829</v>
      </c>
      <c r="AU416" s="23">
        <v>1047</v>
      </c>
      <c r="AV416" s="24">
        <v>1391</v>
      </c>
      <c r="AW416" s="23">
        <v>456</v>
      </c>
      <c r="AX416" s="24">
        <v>1230</v>
      </c>
      <c r="AY416" s="23">
        <v>399</v>
      </c>
      <c r="AZ416" s="24">
        <v>161</v>
      </c>
      <c r="BA416" s="23">
        <v>123</v>
      </c>
      <c r="BB416" s="24">
        <v>4286</v>
      </c>
      <c r="BC416" s="23">
        <v>666</v>
      </c>
      <c r="BD416" s="24">
        <v>3494</v>
      </c>
      <c r="BE416" s="23">
        <v>560</v>
      </c>
      <c r="BF416" s="24">
        <v>792</v>
      </c>
      <c r="BG416" s="23">
        <v>286</v>
      </c>
      <c r="BH416" s="24">
        <v>1152</v>
      </c>
      <c r="BI416" s="23">
        <v>248</v>
      </c>
      <c r="BJ416" s="24">
        <v>1152</v>
      </c>
      <c r="BK416" s="23">
        <v>248</v>
      </c>
      <c r="BL416" s="24">
        <v>0</v>
      </c>
      <c r="BM416" s="20">
        <v>25</v>
      </c>
      <c r="BN416" s="19">
        <v>11718</v>
      </c>
      <c r="BO416" s="23">
        <v>1245</v>
      </c>
      <c r="BP416" s="24">
        <v>2313</v>
      </c>
      <c r="BQ416" s="23">
        <v>460</v>
      </c>
      <c r="BR416" s="24">
        <v>2274</v>
      </c>
      <c r="BS416" s="23">
        <v>482</v>
      </c>
      <c r="BT416" s="26">
        <v>39</v>
      </c>
      <c r="BU416" s="23">
        <v>76</v>
      </c>
      <c r="BV416" s="24">
        <v>7646</v>
      </c>
      <c r="BW416" s="23">
        <v>971</v>
      </c>
      <c r="BX416" s="24">
        <v>7069</v>
      </c>
      <c r="BY416" s="23">
        <v>987</v>
      </c>
      <c r="BZ416" s="24">
        <v>577</v>
      </c>
      <c r="CA416" s="23">
        <v>297</v>
      </c>
      <c r="CB416" s="24">
        <v>1759</v>
      </c>
      <c r="CC416" s="23">
        <v>306</v>
      </c>
      <c r="CD416" s="24">
        <v>1759</v>
      </c>
      <c r="CE416" s="23">
        <v>306</v>
      </c>
      <c r="CF416" s="24">
        <v>0</v>
      </c>
      <c r="CG416" s="20">
        <v>25</v>
      </c>
    </row>
    <row r="417" spans="1:85" x14ac:dyDescent="0.3">
      <c r="A417" t="s">
        <v>833</v>
      </c>
      <c r="B417">
        <v>21802</v>
      </c>
      <c r="C417" t="s">
        <v>834</v>
      </c>
      <c r="D417" s="19">
        <v>101</v>
      </c>
      <c r="E417" s="20">
        <v>48</v>
      </c>
      <c r="F417" s="19">
        <v>70</v>
      </c>
      <c r="G417" s="23">
        <v>78</v>
      </c>
      <c r="H417" s="24">
        <v>0</v>
      </c>
      <c r="I417" s="23">
        <v>24</v>
      </c>
      <c r="J417" s="24">
        <v>0</v>
      </c>
      <c r="K417" s="23">
        <v>24</v>
      </c>
      <c r="L417" s="24">
        <v>0</v>
      </c>
      <c r="M417" s="23">
        <v>24</v>
      </c>
      <c r="N417" s="24">
        <v>42</v>
      </c>
      <c r="O417" s="23">
        <v>60</v>
      </c>
      <c r="P417" s="24">
        <v>31</v>
      </c>
      <c r="Q417" s="23">
        <v>65</v>
      </c>
      <c r="R417" s="24">
        <v>11</v>
      </c>
      <c r="S417" s="23">
        <v>37</v>
      </c>
      <c r="T417" s="24">
        <v>28</v>
      </c>
      <c r="U417" s="23">
        <v>65</v>
      </c>
      <c r="V417" s="24">
        <v>28</v>
      </c>
      <c r="W417" s="23">
        <v>65</v>
      </c>
      <c r="X417" s="24">
        <v>0</v>
      </c>
      <c r="Y417" s="20">
        <v>24</v>
      </c>
      <c r="Z417" s="19">
        <v>20</v>
      </c>
      <c r="AA417" s="23">
        <v>23</v>
      </c>
      <c r="AB417" s="24">
        <v>0</v>
      </c>
      <c r="AC417" s="23">
        <v>12</v>
      </c>
      <c r="AD417" s="24">
        <v>0</v>
      </c>
      <c r="AE417" s="23">
        <v>12</v>
      </c>
      <c r="AF417" s="24">
        <v>0</v>
      </c>
      <c r="AG417" s="23">
        <v>12</v>
      </c>
      <c r="AH417" s="24">
        <v>10</v>
      </c>
      <c r="AI417" s="23">
        <v>23</v>
      </c>
      <c r="AJ417" s="24">
        <v>10</v>
      </c>
      <c r="AK417" s="23">
        <v>23</v>
      </c>
      <c r="AL417" s="24">
        <v>0</v>
      </c>
      <c r="AM417" s="23">
        <v>12</v>
      </c>
      <c r="AN417" s="24">
        <v>10</v>
      </c>
      <c r="AO417" s="23">
        <v>22</v>
      </c>
      <c r="AP417" s="24">
        <v>10</v>
      </c>
      <c r="AQ417" s="23">
        <v>22</v>
      </c>
      <c r="AR417" s="24">
        <v>0</v>
      </c>
      <c r="AS417" s="20">
        <v>12</v>
      </c>
      <c r="AT417" s="19">
        <v>11</v>
      </c>
      <c r="AU417" s="23">
        <v>26</v>
      </c>
      <c r="AV417" s="24">
        <v>0</v>
      </c>
      <c r="AW417" s="23">
        <v>12</v>
      </c>
      <c r="AX417" s="24">
        <v>0</v>
      </c>
      <c r="AY417" s="23">
        <v>12</v>
      </c>
      <c r="AZ417" s="24">
        <v>0</v>
      </c>
      <c r="BA417" s="23">
        <v>12</v>
      </c>
      <c r="BB417" s="24">
        <v>0</v>
      </c>
      <c r="BC417" s="23">
        <v>12</v>
      </c>
      <c r="BD417" s="24">
        <v>0</v>
      </c>
      <c r="BE417" s="23">
        <v>12</v>
      </c>
      <c r="BF417" s="24">
        <v>0</v>
      </c>
      <c r="BG417" s="23">
        <v>12</v>
      </c>
      <c r="BH417" s="24">
        <v>11</v>
      </c>
      <c r="BI417" s="23">
        <v>26</v>
      </c>
      <c r="BJ417" s="24">
        <v>11</v>
      </c>
      <c r="BK417" s="23">
        <v>26</v>
      </c>
      <c r="BL417" s="24">
        <v>0</v>
      </c>
      <c r="BM417" s="20">
        <v>12</v>
      </c>
      <c r="BN417" s="19">
        <v>0</v>
      </c>
      <c r="BO417" s="23">
        <v>12</v>
      </c>
      <c r="BP417" s="24">
        <v>0</v>
      </c>
      <c r="BQ417" s="23">
        <v>12</v>
      </c>
      <c r="BR417" s="24">
        <v>0</v>
      </c>
      <c r="BS417" s="23">
        <v>12</v>
      </c>
      <c r="BT417" s="26">
        <v>0</v>
      </c>
      <c r="BU417" s="23">
        <v>12</v>
      </c>
      <c r="BV417" s="24">
        <v>0</v>
      </c>
      <c r="BW417" s="23">
        <v>12</v>
      </c>
      <c r="BX417" s="24">
        <v>0</v>
      </c>
      <c r="BY417" s="23">
        <v>12</v>
      </c>
      <c r="BZ417" s="24">
        <v>0</v>
      </c>
      <c r="CA417" s="23">
        <v>12</v>
      </c>
      <c r="CB417" s="24">
        <v>0</v>
      </c>
      <c r="CC417" s="23">
        <v>12</v>
      </c>
      <c r="CD417" s="24">
        <v>0</v>
      </c>
      <c r="CE417" s="23">
        <v>12</v>
      </c>
      <c r="CF417" s="24">
        <v>0</v>
      </c>
      <c r="CG417" s="20">
        <v>12</v>
      </c>
    </row>
    <row r="418" spans="1:85" x14ac:dyDescent="0.3">
      <c r="A418" t="s">
        <v>835</v>
      </c>
      <c r="B418">
        <v>21804</v>
      </c>
      <c r="C418" t="s">
        <v>836</v>
      </c>
      <c r="D418" s="19">
        <v>39389</v>
      </c>
      <c r="E418" s="20">
        <v>1003</v>
      </c>
      <c r="F418" s="19">
        <v>11048</v>
      </c>
      <c r="G418" s="23">
        <v>1881</v>
      </c>
      <c r="H418" s="24">
        <v>3584</v>
      </c>
      <c r="I418" s="23">
        <v>1050</v>
      </c>
      <c r="J418" s="24">
        <v>3410</v>
      </c>
      <c r="K418" s="23">
        <v>1009</v>
      </c>
      <c r="L418" s="24">
        <v>174</v>
      </c>
      <c r="M418" s="23">
        <v>205</v>
      </c>
      <c r="N418" s="24">
        <v>6783</v>
      </c>
      <c r="O418" s="23">
        <v>1100</v>
      </c>
      <c r="P418" s="24">
        <v>5812</v>
      </c>
      <c r="Q418" s="23">
        <v>1013</v>
      </c>
      <c r="R418" s="24">
        <v>971</v>
      </c>
      <c r="S418" s="23">
        <v>364</v>
      </c>
      <c r="T418" s="24">
        <v>681</v>
      </c>
      <c r="U418" s="23">
        <v>281</v>
      </c>
      <c r="V418" s="24">
        <v>681</v>
      </c>
      <c r="W418" s="23">
        <v>281</v>
      </c>
      <c r="X418" s="24">
        <v>0</v>
      </c>
      <c r="Y418" s="20">
        <v>50</v>
      </c>
      <c r="Z418" s="19">
        <v>5138</v>
      </c>
      <c r="AA418" s="23">
        <v>948</v>
      </c>
      <c r="AB418" s="24">
        <v>1319</v>
      </c>
      <c r="AC418" s="23">
        <v>410</v>
      </c>
      <c r="AD418" s="24">
        <v>1319</v>
      </c>
      <c r="AE418" s="23">
        <v>410</v>
      </c>
      <c r="AF418" s="24">
        <v>0</v>
      </c>
      <c r="AG418" s="23">
        <v>25</v>
      </c>
      <c r="AH418" s="24">
        <v>3161</v>
      </c>
      <c r="AI418" s="23">
        <v>638</v>
      </c>
      <c r="AJ418" s="24">
        <v>2687</v>
      </c>
      <c r="AK418" s="23">
        <v>560</v>
      </c>
      <c r="AL418" s="24">
        <v>474</v>
      </c>
      <c r="AM418" s="23">
        <v>194</v>
      </c>
      <c r="AN418" s="24">
        <v>658</v>
      </c>
      <c r="AO418" s="23">
        <v>170</v>
      </c>
      <c r="AP418" s="24">
        <v>629</v>
      </c>
      <c r="AQ418" s="23">
        <v>169</v>
      </c>
      <c r="AR418" s="24">
        <v>29</v>
      </c>
      <c r="AS418" s="20">
        <v>28</v>
      </c>
      <c r="AT418" s="19">
        <v>12200</v>
      </c>
      <c r="AU418" s="23">
        <v>1316</v>
      </c>
      <c r="AV418" s="24">
        <v>2811</v>
      </c>
      <c r="AW418" s="23">
        <v>534</v>
      </c>
      <c r="AX418" s="24">
        <v>2612</v>
      </c>
      <c r="AY418" s="23">
        <v>519</v>
      </c>
      <c r="AZ418" s="24">
        <v>199</v>
      </c>
      <c r="BA418" s="23">
        <v>167</v>
      </c>
      <c r="BB418" s="24">
        <v>7479</v>
      </c>
      <c r="BC418" s="23">
        <v>842</v>
      </c>
      <c r="BD418" s="24">
        <v>6590</v>
      </c>
      <c r="BE418" s="23">
        <v>801</v>
      </c>
      <c r="BF418" s="24">
        <v>889</v>
      </c>
      <c r="BG418" s="23">
        <v>262</v>
      </c>
      <c r="BH418" s="24">
        <v>1910</v>
      </c>
      <c r="BI418" s="23">
        <v>285</v>
      </c>
      <c r="BJ418" s="24">
        <v>1910</v>
      </c>
      <c r="BK418" s="23">
        <v>285</v>
      </c>
      <c r="BL418" s="24">
        <v>0</v>
      </c>
      <c r="BM418" s="20">
        <v>25</v>
      </c>
      <c r="BN418" s="19">
        <v>11003</v>
      </c>
      <c r="BO418" s="23">
        <v>1015</v>
      </c>
      <c r="BP418" s="24">
        <v>1643</v>
      </c>
      <c r="BQ418" s="23">
        <v>349</v>
      </c>
      <c r="BR418" s="24">
        <v>1591</v>
      </c>
      <c r="BS418" s="23">
        <v>352</v>
      </c>
      <c r="BT418" s="26">
        <v>52</v>
      </c>
      <c r="BU418" s="23">
        <v>49</v>
      </c>
      <c r="BV418" s="24">
        <v>7180</v>
      </c>
      <c r="BW418" s="23">
        <v>713</v>
      </c>
      <c r="BX418" s="24">
        <v>6754</v>
      </c>
      <c r="BY418" s="23">
        <v>696</v>
      </c>
      <c r="BZ418" s="24">
        <v>426</v>
      </c>
      <c r="CA418" s="23">
        <v>213</v>
      </c>
      <c r="CB418" s="24">
        <v>2180</v>
      </c>
      <c r="CC418" s="23">
        <v>314</v>
      </c>
      <c r="CD418" s="24">
        <v>2169</v>
      </c>
      <c r="CE418" s="23">
        <v>311</v>
      </c>
      <c r="CF418" s="24">
        <v>11</v>
      </c>
      <c r="CG418" s="20">
        <v>18</v>
      </c>
    </row>
    <row r="419" spans="1:85" x14ac:dyDescent="0.3">
      <c r="A419" t="s">
        <v>837</v>
      </c>
      <c r="B419">
        <v>21810</v>
      </c>
      <c r="C419" t="s">
        <v>838</v>
      </c>
      <c r="D419" s="19">
        <v>833</v>
      </c>
      <c r="E419" s="20">
        <v>432</v>
      </c>
      <c r="F419" s="19">
        <v>0</v>
      </c>
      <c r="G419" s="23">
        <v>24</v>
      </c>
      <c r="H419" s="24">
        <v>0</v>
      </c>
      <c r="I419" s="23">
        <v>24</v>
      </c>
      <c r="J419" s="24">
        <v>0</v>
      </c>
      <c r="K419" s="23">
        <v>24</v>
      </c>
      <c r="L419" s="24">
        <v>0</v>
      </c>
      <c r="M419" s="23">
        <v>24</v>
      </c>
      <c r="N419" s="24">
        <v>0</v>
      </c>
      <c r="O419" s="23">
        <v>24</v>
      </c>
      <c r="P419" s="24">
        <v>0</v>
      </c>
      <c r="Q419" s="23">
        <v>24</v>
      </c>
      <c r="R419" s="24">
        <v>0</v>
      </c>
      <c r="S419" s="23">
        <v>24</v>
      </c>
      <c r="T419" s="24">
        <v>0</v>
      </c>
      <c r="U419" s="23">
        <v>24</v>
      </c>
      <c r="V419" s="24">
        <v>0</v>
      </c>
      <c r="W419" s="23">
        <v>24</v>
      </c>
      <c r="X419" s="24">
        <v>0</v>
      </c>
      <c r="Y419" s="20">
        <v>24</v>
      </c>
      <c r="Z419" s="19">
        <v>0</v>
      </c>
      <c r="AA419" s="23">
        <v>12</v>
      </c>
      <c r="AB419" s="24">
        <v>0</v>
      </c>
      <c r="AC419" s="23">
        <v>12</v>
      </c>
      <c r="AD419" s="24">
        <v>0</v>
      </c>
      <c r="AE419" s="23">
        <v>12</v>
      </c>
      <c r="AF419" s="24">
        <v>0</v>
      </c>
      <c r="AG419" s="23">
        <v>12</v>
      </c>
      <c r="AH419" s="24">
        <v>0</v>
      </c>
      <c r="AI419" s="23">
        <v>12</v>
      </c>
      <c r="AJ419" s="24">
        <v>0</v>
      </c>
      <c r="AK419" s="23">
        <v>12</v>
      </c>
      <c r="AL419" s="24">
        <v>0</v>
      </c>
      <c r="AM419" s="23">
        <v>12</v>
      </c>
      <c r="AN419" s="24">
        <v>0</v>
      </c>
      <c r="AO419" s="23">
        <v>12</v>
      </c>
      <c r="AP419" s="24">
        <v>0</v>
      </c>
      <c r="AQ419" s="23">
        <v>12</v>
      </c>
      <c r="AR419" s="24">
        <v>0</v>
      </c>
      <c r="AS419" s="20">
        <v>12</v>
      </c>
      <c r="AT419" s="19">
        <v>200</v>
      </c>
      <c r="AU419" s="23">
        <v>189</v>
      </c>
      <c r="AV419" s="24">
        <v>23</v>
      </c>
      <c r="AW419" s="23">
        <v>28</v>
      </c>
      <c r="AX419" s="24">
        <v>23</v>
      </c>
      <c r="AY419" s="23">
        <v>28</v>
      </c>
      <c r="AZ419" s="24">
        <v>0</v>
      </c>
      <c r="BA419" s="23">
        <v>12</v>
      </c>
      <c r="BB419" s="24">
        <v>120</v>
      </c>
      <c r="BC419" s="23">
        <v>156</v>
      </c>
      <c r="BD419" s="24">
        <v>120</v>
      </c>
      <c r="BE419" s="23">
        <v>156</v>
      </c>
      <c r="BF419" s="24">
        <v>0</v>
      </c>
      <c r="BG419" s="23">
        <v>12</v>
      </c>
      <c r="BH419" s="24">
        <v>57</v>
      </c>
      <c r="BI419" s="23">
        <v>69</v>
      </c>
      <c r="BJ419" s="24">
        <v>57</v>
      </c>
      <c r="BK419" s="23">
        <v>69</v>
      </c>
      <c r="BL419" s="24">
        <v>0</v>
      </c>
      <c r="BM419" s="20">
        <v>12</v>
      </c>
      <c r="BN419" s="19">
        <v>633</v>
      </c>
      <c r="BO419" s="23">
        <v>491</v>
      </c>
      <c r="BP419" s="24">
        <v>113</v>
      </c>
      <c r="BQ419" s="23">
        <v>188</v>
      </c>
      <c r="BR419" s="24">
        <v>113</v>
      </c>
      <c r="BS419" s="23">
        <v>188</v>
      </c>
      <c r="BT419" s="26">
        <v>0</v>
      </c>
      <c r="BU419" s="23">
        <v>12</v>
      </c>
      <c r="BV419" s="24">
        <v>445</v>
      </c>
      <c r="BW419" s="23">
        <v>336</v>
      </c>
      <c r="BX419" s="24">
        <v>407</v>
      </c>
      <c r="BY419" s="23">
        <v>318</v>
      </c>
      <c r="BZ419" s="24">
        <v>38</v>
      </c>
      <c r="CA419" s="23">
        <v>57</v>
      </c>
      <c r="CB419" s="24">
        <v>75</v>
      </c>
      <c r="CC419" s="23">
        <v>74</v>
      </c>
      <c r="CD419" s="24">
        <v>75</v>
      </c>
      <c r="CE419" s="23">
        <v>74</v>
      </c>
      <c r="CF419" s="24">
        <v>0</v>
      </c>
      <c r="CG419" s="20">
        <v>12</v>
      </c>
    </row>
    <row r="420" spans="1:85" x14ac:dyDescent="0.3">
      <c r="A420" t="s">
        <v>839</v>
      </c>
      <c r="B420">
        <v>21811</v>
      </c>
      <c r="C420" t="s">
        <v>840</v>
      </c>
      <c r="D420" s="19">
        <v>22671</v>
      </c>
      <c r="E420" s="20">
        <v>652</v>
      </c>
      <c r="F420" s="19">
        <v>2961</v>
      </c>
      <c r="G420" s="23">
        <v>808</v>
      </c>
      <c r="H420" s="24">
        <v>641</v>
      </c>
      <c r="I420" s="23">
        <v>318</v>
      </c>
      <c r="J420" s="24">
        <v>635</v>
      </c>
      <c r="K420" s="23">
        <v>318</v>
      </c>
      <c r="L420" s="24">
        <v>6</v>
      </c>
      <c r="M420" s="23">
        <v>33</v>
      </c>
      <c r="N420" s="24">
        <v>1548</v>
      </c>
      <c r="O420" s="23">
        <v>534</v>
      </c>
      <c r="P420" s="24">
        <v>1178</v>
      </c>
      <c r="Q420" s="23">
        <v>414</v>
      </c>
      <c r="R420" s="24">
        <v>370</v>
      </c>
      <c r="S420" s="23">
        <v>263</v>
      </c>
      <c r="T420" s="24">
        <v>772</v>
      </c>
      <c r="U420" s="23">
        <v>278</v>
      </c>
      <c r="V420" s="24">
        <v>772</v>
      </c>
      <c r="W420" s="23">
        <v>278</v>
      </c>
      <c r="X420" s="24">
        <v>0</v>
      </c>
      <c r="Y420" s="20">
        <v>44</v>
      </c>
      <c r="Z420" s="19">
        <v>1866</v>
      </c>
      <c r="AA420" s="23">
        <v>467</v>
      </c>
      <c r="AB420" s="24">
        <v>468</v>
      </c>
      <c r="AC420" s="23">
        <v>225</v>
      </c>
      <c r="AD420" s="24">
        <v>452</v>
      </c>
      <c r="AE420" s="23">
        <v>229</v>
      </c>
      <c r="AF420" s="24">
        <v>16</v>
      </c>
      <c r="AG420" s="23">
        <v>27</v>
      </c>
      <c r="AH420" s="24">
        <v>944</v>
      </c>
      <c r="AI420" s="23">
        <v>278</v>
      </c>
      <c r="AJ420" s="24">
        <v>889</v>
      </c>
      <c r="AK420" s="23">
        <v>276</v>
      </c>
      <c r="AL420" s="24">
        <v>55</v>
      </c>
      <c r="AM420" s="23">
        <v>42</v>
      </c>
      <c r="AN420" s="24">
        <v>454</v>
      </c>
      <c r="AO420" s="23">
        <v>131</v>
      </c>
      <c r="AP420" s="24">
        <v>454</v>
      </c>
      <c r="AQ420" s="23">
        <v>131</v>
      </c>
      <c r="AR420" s="24">
        <v>0</v>
      </c>
      <c r="AS420" s="20">
        <v>22</v>
      </c>
      <c r="AT420" s="19">
        <v>6783</v>
      </c>
      <c r="AU420" s="23">
        <v>773</v>
      </c>
      <c r="AV420" s="24">
        <v>1402</v>
      </c>
      <c r="AW420" s="23">
        <v>290</v>
      </c>
      <c r="AX420" s="24">
        <v>1268</v>
      </c>
      <c r="AY420" s="23">
        <v>262</v>
      </c>
      <c r="AZ420" s="24">
        <v>134</v>
      </c>
      <c r="BA420" s="23">
        <v>97</v>
      </c>
      <c r="BB420" s="24">
        <v>3334</v>
      </c>
      <c r="BC420" s="23">
        <v>458</v>
      </c>
      <c r="BD420" s="24">
        <v>2903</v>
      </c>
      <c r="BE420" s="23">
        <v>419</v>
      </c>
      <c r="BF420" s="24">
        <v>431</v>
      </c>
      <c r="BG420" s="23">
        <v>149</v>
      </c>
      <c r="BH420" s="24">
        <v>2047</v>
      </c>
      <c r="BI420" s="23">
        <v>285</v>
      </c>
      <c r="BJ420" s="24">
        <v>2047</v>
      </c>
      <c r="BK420" s="23">
        <v>285</v>
      </c>
      <c r="BL420" s="24">
        <v>0</v>
      </c>
      <c r="BM420" s="20">
        <v>22</v>
      </c>
      <c r="BN420" s="19">
        <v>11061</v>
      </c>
      <c r="BO420" s="23">
        <v>872</v>
      </c>
      <c r="BP420" s="24">
        <v>1631</v>
      </c>
      <c r="BQ420" s="23">
        <v>349</v>
      </c>
      <c r="BR420" s="24">
        <v>1572</v>
      </c>
      <c r="BS420" s="23">
        <v>336</v>
      </c>
      <c r="BT420" s="26">
        <v>59</v>
      </c>
      <c r="BU420" s="23">
        <v>57</v>
      </c>
      <c r="BV420" s="24">
        <v>5859</v>
      </c>
      <c r="BW420" s="23">
        <v>523</v>
      </c>
      <c r="BX420" s="24">
        <v>5418</v>
      </c>
      <c r="BY420" s="23">
        <v>480</v>
      </c>
      <c r="BZ420" s="24">
        <v>441</v>
      </c>
      <c r="CA420" s="23">
        <v>174</v>
      </c>
      <c r="CB420" s="24">
        <v>3571</v>
      </c>
      <c r="CC420" s="23">
        <v>267</v>
      </c>
      <c r="CD420" s="24">
        <v>3571</v>
      </c>
      <c r="CE420" s="23">
        <v>267</v>
      </c>
      <c r="CF420" s="24">
        <v>0</v>
      </c>
      <c r="CG420" s="20">
        <v>22</v>
      </c>
    </row>
    <row r="421" spans="1:85" x14ac:dyDescent="0.3">
      <c r="A421" t="s">
        <v>841</v>
      </c>
      <c r="B421">
        <v>21813</v>
      </c>
      <c r="C421" t="s">
        <v>842</v>
      </c>
      <c r="D421" s="19">
        <v>2921</v>
      </c>
      <c r="E421" s="20">
        <v>493</v>
      </c>
      <c r="F421" s="19">
        <v>204</v>
      </c>
      <c r="G421" s="23">
        <v>142</v>
      </c>
      <c r="H421" s="24">
        <v>32</v>
      </c>
      <c r="I421" s="23">
        <v>61</v>
      </c>
      <c r="J421" s="24">
        <v>32</v>
      </c>
      <c r="K421" s="23">
        <v>61</v>
      </c>
      <c r="L421" s="24">
        <v>0</v>
      </c>
      <c r="M421" s="23">
        <v>24</v>
      </c>
      <c r="N421" s="24">
        <v>78</v>
      </c>
      <c r="O421" s="23">
        <v>79</v>
      </c>
      <c r="P421" s="24">
        <v>78</v>
      </c>
      <c r="Q421" s="23">
        <v>79</v>
      </c>
      <c r="R421" s="24">
        <v>0</v>
      </c>
      <c r="S421" s="23">
        <v>24</v>
      </c>
      <c r="T421" s="24">
        <v>94</v>
      </c>
      <c r="U421" s="23">
        <v>90</v>
      </c>
      <c r="V421" s="24">
        <v>94</v>
      </c>
      <c r="W421" s="23">
        <v>90</v>
      </c>
      <c r="X421" s="24">
        <v>0</v>
      </c>
      <c r="Y421" s="20">
        <v>24</v>
      </c>
      <c r="Z421" s="19">
        <v>147</v>
      </c>
      <c r="AA421" s="23">
        <v>118</v>
      </c>
      <c r="AB421" s="24">
        <v>39</v>
      </c>
      <c r="AC421" s="23">
        <v>53</v>
      </c>
      <c r="AD421" s="24">
        <v>39</v>
      </c>
      <c r="AE421" s="23">
        <v>53</v>
      </c>
      <c r="AF421" s="24">
        <v>0</v>
      </c>
      <c r="AG421" s="23">
        <v>12</v>
      </c>
      <c r="AH421" s="24">
        <v>53</v>
      </c>
      <c r="AI421" s="23">
        <v>61</v>
      </c>
      <c r="AJ421" s="24">
        <v>53</v>
      </c>
      <c r="AK421" s="23">
        <v>61</v>
      </c>
      <c r="AL421" s="24">
        <v>0</v>
      </c>
      <c r="AM421" s="23">
        <v>12</v>
      </c>
      <c r="AN421" s="24">
        <v>55</v>
      </c>
      <c r="AO421" s="23">
        <v>46</v>
      </c>
      <c r="AP421" s="24">
        <v>55</v>
      </c>
      <c r="AQ421" s="23">
        <v>46</v>
      </c>
      <c r="AR421" s="24">
        <v>0</v>
      </c>
      <c r="AS421" s="20">
        <v>12</v>
      </c>
      <c r="AT421" s="19">
        <v>1195</v>
      </c>
      <c r="AU421" s="23">
        <v>539</v>
      </c>
      <c r="AV421" s="24">
        <v>492</v>
      </c>
      <c r="AW421" s="23">
        <v>302</v>
      </c>
      <c r="AX421" s="24">
        <v>492</v>
      </c>
      <c r="AY421" s="23">
        <v>302</v>
      </c>
      <c r="AZ421" s="24">
        <v>0</v>
      </c>
      <c r="BA421" s="23">
        <v>12</v>
      </c>
      <c r="BB421" s="24">
        <v>620</v>
      </c>
      <c r="BC421" s="23">
        <v>311</v>
      </c>
      <c r="BD421" s="24">
        <v>600</v>
      </c>
      <c r="BE421" s="23">
        <v>314</v>
      </c>
      <c r="BF421" s="24">
        <v>20</v>
      </c>
      <c r="BG421" s="23">
        <v>33</v>
      </c>
      <c r="BH421" s="24">
        <v>83</v>
      </c>
      <c r="BI421" s="23">
        <v>81</v>
      </c>
      <c r="BJ421" s="24">
        <v>83</v>
      </c>
      <c r="BK421" s="23">
        <v>81</v>
      </c>
      <c r="BL421" s="24">
        <v>0</v>
      </c>
      <c r="BM421" s="20">
        <v>12</v>
      </c>
      <c r="BN421" s="19">
        <v>1375</v>
      </c>
      <c r="BO421" s="23">
        <v>391</v>
      </c>
      <c r="BP421" s="24">
        <v>179</v>
      </c>
      <c r="BQ421" s="23">
        <v>115</v>
      </c>
      <c r="BR421" s="24">
        <v>147</v>
      </c>
      <c r="BS421" s="23">
        <v>106</v>
      </c>
      <c r="BT421" s="26">
        <v>32</v>
      </c>
      <c r="BU421" s="23">
        <v>51</v>
      </c>
      <c r="BV421" s="24">
        <v>875</v>
      </c>
      <c r="BW421" s="23">
        <v>311</v>
      </c>
      <c r="BX421" s="24">
        <v>816</v>
      </c>
      <c r="BY421" s="23">
        <v>298</v>
      </c>
      <c r="BZ421" s="24">
        <v>59</v>
      </c>
      <c r="CA421" s="23">
        <v>68</v>
      </c>
      <c r="CB421" s="24">
        <v>321</v>
      </c>
      <c r="CC421" s="23">
        <v>115</v>
      </c>
      <c r="CD421" s="24">
        <v>321</v>
      </c>
      <c r="CE421" s="23">
        <v>115</v>
      </c>
      <c r="CF421" s="24">
        <v>0</v>
      </c>
      <c r="CG421" s="20">
        <v>12</v>
      </c>
    </row>
    <row r="422" spans="1:85" x14ac:dyDescent="0.3">
      <c r="A422" t="s">
        <v>843</v>
      </c>
      <c r="B422">
        <v>21814</v>
      </c>
      <c r="C422" t="s">
        <v>844</v>
      </c>
      <c r="D422" s="19">
        <v>564</v>
      </c>
      <c r="E422" s="20">
        <v>406</v>
      </c>
      <c r="F422" s="19">
        <v>79</v>
      </c>
      <c r="G422" s="23">
        <v>139</v>
      </c>
      <c r="H422" s="24">
        <v>0</v>
      </c>
      <c r="I422" s="23">
        <v>24</v>
      </c>
      <c r="J422" s="24">
        <v>0</v>
      </c>
      <c r="K422" s="23">
        <v>24</v>
      </c>
      <c r="L422" s="24">
        <v>0</v>
      </c>
      <c r="M422" s="23">
        <v>24</v>
      </c>
      <c r="N422" s="24">
        <v>79</v>
      </c>
      <c r="O422" s="23">
        <v>139</v>
      </c>
      <c r="P422" s="24">
        <v>79</v>
      </c>
      <c r="Q422" s="23">
        <v>139</v>
      </c>
      <c r="R422" s="24">
        <v>0</v>
      </c>
      <c r="S422" s="23">
        <v>24</v>
      </c>
      <c r="T422" s="24">
        <v>0</v>
      </c>
      <c r="U422" s="23">
        <v>24</v>
      </c>
      <c r="V422" s="24">
        <v>0</v>
      </c>
      <c r="W422" s="23">
        <v>24</v>
      </c>
      <c r="X422" s="24">
        <v>0</v>
      </c>
      <c r="Y422" s="20">
        <v>24</v>
      </c>
      <c r="Z422" s="19">
        <v>211</v>
      </c>
      <c r="AA422" s="23">
        <v>276</v>
      </c>
      <c r="AB422" s="24">
        <v>132</v>
      </c>
      <c r="AC422" s="23">
        <v>174</v>
      </c>
      <c r="AD422" s="24">
        <v>132</v>
      </c>
      <c r="AE422" s="23">
        <v>174</v>
      </c>
      <c r="AF422" s="24">
        <v>0</v>
      </c>
      <c r="AG422" s="23">
        <v>12</v>
      </c>
      <c r="AH422" s="24">
        <v>79</v>
      </c>
      <c r="AI422" s="23">
        <v>102</v>
      </c>
      <c r="AJ422" s="24">
        <v>79</v>
      </c>
      <c r="AK422" s="23">
        <v>102</v>
      </c>
      <c r="AL422" s="24">
        <v>0</v>
      </c>
      <c r="AM422" s="23">
        <v>12</v>
      </c>
      <c r="AN422" s="24">
        <v>0</v>
      </c>
      <c r="AO422" s="23">
        <v>12</v>
      </c>
      <c r="AP422" s="24">
        <v>0</v>
      </c>
      <c r="AQ422" s="23">
        <v>12</v>
      </c>
      <c r="AR422" s="24">
        <v>0</v>
      </c>
      <c r="AS422" s="20">
        <v>12</v>
      </c>
      <c r="AT422" s="19">
        <v>47</v>
      </c>
      <c r="AU422" s="23">
        <v>78</v>
      </c>
      <c r="AV422" s="24">
        <v>0</v>
      </c>
      <c r="AW422" s="23">
        <v>12</v>
      </c>
      <c r="AX422" s="24">
        <v>0</v>
      </c>
      <c r="AY422" s="23">
        <v>12</v>
      </c>
      <c r="AZ422" s="24">
        <v>0</v>
      </c>
      <c r="BA422" s="23">
        <v>12</v>
      </c>
      <c r="BB422" s="24">
        <v>47</v>
      </c>
      <c r="BC422" s="23">
        <v>78</v>
      </c>
      <c r="BD422" s="24">
        <v>23</v>
      </c>
      <c r="BE422" s="23">
        <v>39</v>
      </c>
      <c r="BF422" s="24">
        <v>24</v>
      </c>
      <c r="BG422" s="23">
        <v>39</v>
      </c>
      <c r="BH422" s="24">
        <v>0</v>
      </c>
      <c r="BI422" s="23">
        <v>12</v>
      </c>
      <c r="BJ422" s="24">
        <v>0</v>
      </c>
      <c r="BK422" s="23">
        <v>12</v>
      </c>
      <c r="BL422" s="24">
        <v>0</v>
      </c>
      <c r="BM422" s="20">
        <v>12</v>
      </c>
      <c r="BN422" s="19">
        <v>227</v>
      </c>
      <c r="BO422" s="23">
        <v>294</v>
      </c>
      <c r="BP422" s="24">
        <v>101</v>
      </c>
      <c r="BQ422" s="23">
        <v>178</v>
      </c>
      <c r="BR422" s="24">
        <v>101</v>
      </c>
      <c r="BS422" s="23">
        <v>178</v>
      </c>
      <c r="BT422" s="26">
        <v>0</v>
      </c>
      <c r="BU422" s="23">
        <v>12</v>
      </c>
      <c r="BV422" s="24">
        <v>86</v>
      </c>
      <c r="BW422" s="23">
        <v>114</v>
      </c>
      <c r="BX422" s="24">
        <v>86</v>
      </c>
      <c r="BY422" s="23">
        <v>114</v>
      </c>
      <c r="BZ422" s="24">
        <v>0</v>
      </c>
      <c r="CA422" s="23">
        <v>12</v>
      </c>
      <c r="CB422" s="24">
        <v>40</v>
      </c>
      <c r="CC422" s="23">
        <v>39</v>
      </c>
      <c r="CD422" s="24">
        <v>40</v>
      </c>
      <c r="CE422" s="23">
        <v>39</v>
      </c>
      <c r="CF422" s="24">
        <v>0</v>
      </c>
      <c r="CG422" s="20">
        <v>12</v>
      </c>
    </row>
    <row r="423" spans="1:85" x14ac:dyDescent="0.3">
      <c r="A423" t="s">
        <v>845</v>
      </c>
      <c r="B423">
        <v>21817</v>
      </c>
      <c r="C423" t="s">
        <v>846</v>
      </c>
      <c r="D423" s="19">
        <v>4909</v>
      </c>
      <c r="E423" s="20">
        <v>376</v>
      </c>
      <c r="F423" s="19">
        <v>1523</v>
      </c>
      <c r="G423" s="23">
        <v>438</v>
      </c>
      <c r="H423" s="24">
        <v>653</v>
      </c>
      <c r="I423" s="23">
        <v>275</v>
      </c>
      <c r="J423" s="24">
        <v>630</v>
      </c>
      <c r="K423" s="23">
        <v>276</v>
      </c>
      <c r="L423" s="24">
        <v>23</v>
      </c>
      <c r="M423" s="23">
        <v>39</v>
      </c>
      <c r="N423" s="24">
        <v>699</v>
      </c>
      <c r="O423" s="23">
        <v>213</v>
      </c>
      <c r="P423" s="24">
        <v>539</v>
      </c>
      <c r="Q423" s="23">
        <v>211</v>
      </c>
      <c r="R423" s="24">
        <v>160</v>
      </c>
      <c r="S423" s="23">
        <v>82</v>
      </c>
      <c r="T423" s="24">
        <v>171</v>
      </c>
      <c r="U423" s="23">
        <v>90</v>
      </c>
      <c r="V423" s="24">
        <v>171</v>
      </c>
      <c r="W423" s="23">
        <v>90</v>
      </c>
      <c r="X423" s="24">
        <v>0</v>
      </c>
      <c r="Y423" s="20">
        <v>24</v>
      </c>
      <c r="Z423" s="19">
        <v>1028</v>
      </c>
      <c r="AA423" s="23">
        <v>322</v>
      </c>
      <c r="AB423" s="24">
        <v>326</v>
      </c>
      <c r="AC423" s="23">
        <v>162</v>
      </c>
      <c r="AD423" s="24">
        <v>326</v>
      </c>
      <c r="AE423" s="23">
        <v>162</v>
      </c>
      <c r="AF423" s="24">
        <v>0</v>
      </c>
      <c r="AG423" s="23">
        <v>12</v>
      </c>
      <c r="AH423" s="24">
        <v>544</v>
      </c>
      <c r="AI423" s="23">
        <v>155</v>
      </c>
      <c r="AJ423" s="24">
        <v>424</v>
      </c>
      <c r="AK423" s="23">
        <v>138</v>
      </c>
      <c r="AL423" s="24">
        <v>120</v>
      </c>
      <c r="AM423" s="23">
        <v>103</v>
      </c>
      <c r="AN423" s="24">
        <v>158</v>
      </c>
      <c r="AO423" s="23">
        <v>77</v>
      </c>
      <c r="AP423" s="24">
        <v>158</v>
      </c>
      <c r="AQ423" s="23">
        <v>77</v>
      </c>
      <c r="AR423" s="24">
        <v>0</v>
      </c>
      <c r="AS423" s="20">
        <v>12</v>
      </c>
      <c r="AT423" s="19">
        <v>1242</v>
      </c>
      <c r="AU423" s="23">
        <v>263</v>
      </c>
      <c r="AV423" s="24">
        <v>214</v>
      </c>
      <c r="AW423" s="23">
        <v>89</v>
      </c>
      <c r="AX423" s="24">
        <v>214</v>
      </c>
      <c r="AY423" s="23">
        <v>89</v>
      </c>
      <c r="AZ423" s="24">
        <v>0</v>
      </c>
      <c r="BA423" s="23">
        <v>12</v>
      </c>
      <c r="BB423" s="24">
        <v>634</v>
      </c>
      <c r="BC423" s="23">
        <v>164</v>
      </c>
      <c r="BD423" s="24">
        <v>576</v>
      </c>
      <c r="BE423" s="23">
        <v>159</v>
      </c>
      <c r="BF423" s="24">
        <v>58</v>
      </c>
      <c r="BG423" s="23">
        <v>43</v>
      </c>
      <c r="BH423" s="24">
        <v>394</v>
      </c>
      <c r="BI423" s="23">
        <v>107</v>
      </c>
      <c r="BJ423" s="24">
        <v>394</v>
      </c>
      <c r="BK423" s="23">
        <v>107</v>
      </c>
      <c r="BL423" s="24">
        <v>0</v>
      </c>
      <c r="BM423" s="20">
        <v>12</v>
      </c>
      <c r="BN423" s="19">
        <v>1116</v>
      </c>
      <c r="BO423" s="23">
        <v>261</v>
      </c>
      <c r="BP423" s="24">
        <v>109</v>
      </c>
      <c r="BQ423" s="23">
        <v>51</v>
      </c>
      <c r="BR423" s="24">
        <v>102</v>
      </c>
      <c r="BS423" s="23">
        <v>48</v>
      </c>
      <c r="BT423" s="26">
        <v>7</v>
      </c>
      <c r="BU423" s="23">
        <v>12</v>
      </c>
      <c r="BV423" s="24">
        <v>576</v>
      </c>
      <c r="BW423" s="23">
        <v>157</v>
      </c>
      <c r="BX423" s="24">
        <v>547</v>
      </c>
      <c r="BY423" s="23">
        <v>142</v>
      </c>
      <c r="BZ423" s="24">
        <v>29</v>
      </c>
      <c r="CA423" s="23">
        <v>30</v>
      </c>
      <c r="CB423" s="24">
        <v>431</v>
      </c>
      <c r="CC423" s="23">
        <v>108</v>
      </c>
      <c r="CD423" s="24">
        <v>431</v>
      </c>
      <c r="CE423" s="23">
        <v>108</v>
      </c>
      <c r="CF423" s="24">
        <v>0</v>
      </c>
      <c r="CG423" s="20">
        <v>12</v>
      </c>
    </row>
    <row r="424" spans="1:85" x14ac:dyDescent="0.3">
      <c r="A424" t="s">
        <v>847</v>
      </c>
      <c r="B424">
        <v>21821</v>
      </c>
      <c r="C424" t="s">
        <v>848</v>
      </c>
      <c r="D424" s="19">
        <v>992</v>
      </c>
      <c r="E424" s="20">
        <v>161</v>
      </c>
      <c r="F424" s="19">
        <v>225</v>
      </c>
      <c r="G424" s="23">
        <v>145</v>
      </c>
      <c r="H424" s="24">
        <v>40</v>
      </c>
      <c r="I424" s="23">
        <v>58</v>
      </c>
      <c r="J424" s="24">
        <v>40</v>
      </c>
      <c r="K424" s="23">
        <v>58</v>
      </c>
      <c r="L424" s="24">
        <v>0</v>
      </c>
      <c r="M424" s="23">
        <v>24</v>
      </c>
      <c r="N424" s="24">
        <v>112</v>
      </c>
      <c r="O424" s="23">
        <v>81</v>
      </c>
      <c r="P424" s="24">
        <v>90</v>
      </c>
      <c r="Q424" s="23">
        <v>74</v>
      </c>
      <c r="R424" s="24">
        <v>22</v>
      </c>
      <c r="S424" s="23">
        <v>36</v>
      </c>
      <c r="T424" s="24">
        <v>73</v>
      </c>
      <c r="U424" s="23">
        <v>51</v>
      </c>
      <c r="V424" s="24">
        <v>73</v>
      </c>
      <c r="W424" s="23">
        <v>51</v>
      </c>
      <c r="X424" s="24">
        <v>0</v>
      </c>
      <c r="Y424" s="20">
        <v>24</v>
      </c>
      <c r="Z424" s="19">
        <v>137</v>
      </c>
      <c r="AA424" s="23">
        <v>70</v>
      </c>
      <c r="AB424" s="24">
        <v>20</v>
      </c>
      <c r="AC424" s="23">
        <v>33</v>
      </c>
      <c r="AD424" s="24">
        <v>20</v>
      </c>
      <c r="AE424" s="23">
        <v>33</v>
      </c>
      <c r="AF424" s="24">
        <v>0</v>
      </c>
      <c r="AG424" s="23">
        <v>12</v>
      </c>
      <c r="AH424" s="24">
        <v>37</v>
      </c>
      <c r="AI424" s="23">
        <v>23</v>
      </c>
      <c r="AJ424" s="24">
        <v>37</v>
      </c>
      <c r="AK424" s="23">
        <v>23</v>
      </c>
      <c r="AL424" s="24">
        <v>0</v>
      </c>
      <c r="AM424" s="23">
        <v>12</v>
      </c>
      <c r="AN424" s="24">
        <v>80</v>
      </c>
      <c r="AO424" s="23">
        <v>46</v>
      </c>
      <c r="AP424" s="24">
        <v>80</v>
      </c>
      <c r="AQ424" s="23">
        <v>46</v>
      </c>
      <c r="AR424" s="24">
        <v>0</v>
      </c>
      <c r="AS424" s="20">
        <v>12</v>
      </c>
      <c r="AT424" s="19">
        <v>361</v>
      </c>
      <c r="AU424" s="23">
        <v>115</v>
      </c>
      <c r="AV424" s="24">
        <v>80</v>
      </c>
      <c r="AW424" s="23">
        <v>56</v>
      </c>
      <c r="AX424" s="24">
        <v>25</v>
      </c>
      <c r="AY424" s="23">
        <v>25</v>
      </c>
      <c r="AZ424" s="24">
        <v>55</v>
      </c>
      <c r="BA424" s="23">
        <v>57</v>
      </c>
      <c r="BB424" s="24">
        <v>167</v>
      </c>
      <c r="BC424" s="23">
        <v>70</v>
      </c>
      <c r="BD424" s="24">
        <v>142</v>
      </c>
      <c r="BE424" s="23">
        <v>64</v>
      </c>
      <c r="BF424" s="24">
        <v>25</v>
      </c>
      <c r="BG424" s="23">
        <v>27</v>
      </c>
      <c r="BH424" s="24">
        <v>114</v>
      </c>
      <c r="BI424" s="23">
        <v>45</v>
      </c>
      <c r="BJ424" s="24">
        <v>114</v>
      </c>
      <c r="BK424" s="23">
        <v>45</v>
      </c>
      <c r="BL424" s="24">
        <v>0</v>
      </c>
      <c r="BM424" s="20">
        <v>12</v>
      </c>
      <c r="BN424" s="19">
        <v>269</v>
      </c>
      <c r="BO424" s="23">
        <v>91</v>
      </c>
      <c r="BP424" s="24">
        <v>12</v>
      </c>
      <c r="BQ424" s="23">
        <v>13</v>
      </c>
      <c r="BR424" s="24">
        <v>8</v>
      </c>
      <c r="BS424" s="23">
        <v>9</v>
      </c>
      <c r="BT424" s="26">
        <v>4</v>
      </c>
      <c r="BU424" s="23">
        <v>9</v>
      </c>
      <c r="BV424" s="24">
        <v>189</v>
      </c>
      <c r="BW424" s="23">
        <v>78</v>
      </c>
      <c r="BX424" s="24">
        <v>189</v>
      </c>
      <c r="BY424" s="23">
        <v>78</v>
      </c>
      <c r="BZ424" s="24">
        <v>0</v>
      </c>
      <c r="CA424" s="23">
        <v>12</v>
      </c>
      <c r="CB424" s="24">
        <v>68</v>
      </c>
      <c r="CC424" s="23">
        <v>46</v>
      </c>
      <c r="CD424" s="24">
        <v>68</v>
      </c>
      <c r="CE424" s="23">
        <v>46</v>
      </c>
      <c r="CF424" s="24">
        <v>0</v>
      </c>
      <c r="CG424" s="20">
        <v>12</v>
      </c>
    </row>
    <row r="425" spans="1:85" x14ac:dyDescent="0.3">
      <c r="A425" t="s">
        <v>849</v>
      </c>
      <c r="B425">
        <v>21822</v>
      </c>
      <c r="C425" t="s">
        <v>850</v>
      </c>
      <c r="D425" s="19">
        <v>2323</v>
      </c>
      <c r="E425" s="20">
        <v>462</v>
      </c>
      <c r="F425" s="19">
        <v>367</v>
      </c>
      <c r="G425" s="23">
        <v>303</v>
      </c>
      <c r="H425" s="24">
        <v>149</v>
      </c>
      <c r="I425" s="23">
        <v>144</v>
      </c>
      <c r="J425" s="24">
        <v>116</v>
      </c>
      <c r="K425" s="23">
        <v>126</v>
      </c>
      <c r="L425" s="24">
        <v>33</v>
      </c>
      <c r="M425" s="23">
        <v>67</v>
      </c>
      <c r="N425" s="24">
        <v>145</v>
      </c>
      <c r="O425" s="23">
        <v>153</v>
      </c>
      <c r="P425" s="24">
        <v>73</v>
      </c>
      <c r="Q425" s="23">
        <v>78</v>
      </c>
      <c r="R425" s="24">
        <v>72</v>
      </c>
      <c r="S425" s="23">
        <v>124</v>
      </c>
      <c r="T425" s="24">
        <v>73</v>
      </c>
      <c r="U425" s="23">
        <v>79</v>
      </c>
      <c r="V425" s="24">
        <v>73</v>
      </c>
      <c r="W425" s="23">
        <v>79</v>
      </c>
      <c r="X425" s="24">
        <v>0</v>
      </c>
      <c r="Y425" s="20">
        <v>24</v>
      </c>
      <c r="Z425" s="19">
        <v>168</v>
      </c>
      <c r="AA425" s="23">
        <v>126</v>
      </c>
      <c r="AB425" s="24">
        <v>30</v>
      </c>
      <c r="AC425" s="23">
        <v>35</v>
      </c>
      <c r="AD425" s="24">
        <v>30</v>
      </c>
      <c r="AE425" s="23">
        <v>35</v>
      </c>
      <c r="AF425" s="24">
        <v>0</v>
      </c>
      <c r="AG425" s="23">
        <v>12</v>
      </c>
      <c r="AH425" s="24">
        <v>65</v>
      </c>
      <c r="AI425" s="23">
        <v>67</v>
      </c>
      <c r="AJ425" s="24">
        <v>65</v>
      </c>
      <c r="AK425" s="23">
        <v>67</v>
      </c>
      <c r="AL425" s="24">
        <v>0</v>
      </c>
      <c r="AM425" s="23">
        <v>12</v>
      </c>
      <c r="AN425" s="24">
        <v>73</v>
      </c>
      <c r="AO425" s="23">
        <v>67</v>
      </c>
      <c r="AP425" s="24">
        <v>73</v>
      </c>
      <c r="AQ425" s="23">
        <v>67</v>
      </c>
      <c r="AR425" s="24">
        <v>0</v>
      </c>
      <c r="AS425" s="20">
        <v>12</v>
      </c>
      <c r="AT425" s="19">
        <v>879</v>
      </c>
      <c r="AU425" s="23">
        <v>268</v>
      </c>
      <c r="AV425" s="24">
        <v>106</v>
      </c>
      <c r="AW425" s="23">
        <v>74</v>
      </c>
      <c r="AX425" s="24">
        <v>106</v>
      </c>
      <c r="AY425" s="23">
        <v>74</v>
      </c>
      <c r="AZ425" s="24">
        <v>0</v>
      </c>
      <c r="BA425" s="23">
        <v>12</v>
      </c>
      <c r="BB425" s="24">
        <v>626</v>
      </c>
      <c r="BC425" s="23">
        <v>223</v>
      </c>
      <c r="BD425" s="24">
        <v>448</v>
      </c>
      <c r="BE425" s="23">
        <v>182</v>
      </c>
      <c r="BF425" s="24">
        <v>178</v>
      </c>
      <c r="BG425" s="23">
        <v>128</v>
      </c>
      <c r="BH425" s="24">
        <v>147</v>
      </c>
      <c r="BI425" s="23">
        <v>97</v>
      </c>
      <c r="BJ425" s="24">
        <v>147</v>
      </c>
      <c r="BK425" s="23">
        <v>97</v>
      </c>
      <c r="BL425" s="24">
        <v>0</v>
      </c>
      <c r="BM425" s="20">
        <v>12</v>
      </c>
      <c r="BN425" s="19">
        <v>909</v>
      </c>
      <c r="BO425" s="23">
        <v>313</v>
      </c>
      <c r="BP425" s="24">
        <v>242</v>
      </c>
      <c r="BQ425" s="23">
        <v>145</v>
      </c>
      <c r="BR425" s="24">
        <v>222</v>
      </c>
      <c r="BS425" s="23">
        <v>139</v>
      </c>
      <c r="BT425" s="26">
        <v>20</v>
      </c>
      <c r="BU425" s="23">
        <v>36</v>
      </c>
      <c r="BV425" s="24">
        <v>542</v>
      </c>
      <c r="BW425" s="23">
        <v>191</v>
      </c>
      <c r="BX425" s="24">
        <v>405</v>
      </c>
      <c r="BY425" s="23">
        <v>142</v>
      </c>
      <c r="BZ425" s="24">
        <v>137</v>
      </c>
      <c r="CA425" s="23">
        <v>99</v>
      </c>
      <c r="CB425" s="24">
        <v>125</v>
      </c>
      <c r="CC425" s="23">
        <v>89</v>
      </c>
      <c r="CD425" s="24">
        <v>118</v>
      </c>
      <c r="CE425" s="23">
        <v>86</v>
      </c>
      <c r="CF425" s="24">
        <v>7</v>
      </c>
      <c r="CG425" s="20">
        <v>11</v>
      </c>
    </row>
    <row r="426" spans="1:85" x14ac:dyDescent="0.3">
      <c r="A426" t="s">
        <v>851</v>
      </c>
      <c r="B426">
        <v>21824</v>
      </c>
      <c r="C426" t="s">
        <v>852</v>
      </c>
      <c r="D426" s="19">
        <v>88</v>
      </c>
      <c r="E426" s="20">
        <v>46</v>
      </c>
      <c r="F426" s="19">
        <v>13</v>
      </c>
      <c r="G426" s="23">
        <v>26</v>
      </c>
      <c r="H426" s="24">
        <v>0</v>
      </c>
      <c r="I426" s="23">
        <v>24</v>
      </c>
      <c r="J426" s="24">
        <v>0</v>
      </c>
      <c r="K426" s="23">
        <v>24</v>
      </c>
      <c r="L426" s="24">
        <v>0</v>
      </c>
      <c r="M426" s="23">
        <v>24</v>
      </c>
      <c r="N426" s="24">
        <v>0</v>
      </c>
      <c r="O426" s="23">
        <v>24</v>
      </c>
      <c r="P426" s="24">
        <v>0</v>
      </c>
      <c r="Q426" s="23">
        <v>24</v>
      </c>
      <c r="R426" s="24">
        <v>0</v>
      </c>
      <c r="S426" s="23">
        <v>24</v>
      </c>
      <c r="T426" s="24">
        <v>13</v>
      </c>
      <c r="U426" s="23">
        <v>26</v>
      </c>
      <c r="V426" s="24">
        <v>13</v>
      </c>
      <c r="W426" s="23">
        <v>26</v>
      </c>
      <c r="X426" s="24">
        <v>0</v>
      </c>
      <c r="Y426" s="20">
        <v>24</v>
      </c>
      <c r="Z426" s="19">
        <v>25</v>
      </c>
      <c r="AA426" s="23">
        <v>24</v>
      </c>
      <c r="AB426" s="24">
        <v>0</v>
      </c>
      <c r="AC426" s="23">
        <v>12</v>
      </c>
      <c r="AD426" s="24">
        <v>0</v>
      </c>
      <c r="AE426" s="23">
        <v>12</v>
      </c>
      <c r="AF426" s="24">
        <v>0</v>
      </c>
      <c r="AG426" s="23">
        <v>12</v>
      </c>
      <c r="AH426" s="24">
        <v>5</v>
      </c>
      <c r="AI426" s="23">
        <v>9</v>
      </c>
      <c r="AJ426" s="24">
        <v>5</v>
      </c>
      <c r="AK426" s="23">
        <v>9</v>
      </c>
      <c r="AL426" s="24">
        <v>0</v>
      </c>
      <c r="AM426" s="23">
        <v>12</v>
      </c>
      <c r="AN426" s="24">
        <v>20</v>
      </c>
      <c r="AO426" s="23">
        <v>21</v>
      </c>
      <c r="AP426" s="24">
        <v>20</v>
      </c>
      <c r="AQ426" s="23">
        <v>21</v>
      </c>
      <c r="AR426" s="24">
        <v>0</v>
      </c>
      <c r="AS426" s="20">
        <v>12</v>
      </c>
      <c r="AT426" s="19">
        <v>17</v>
      </c>
      <c r="AU426" s="23">
        <v>20</v>
      </c>
      <c r="AV426" s="24">
        <v>0</v>
      </c>
      <c r="AW426" s="23">
        <v>12</v>
      </c>
      <c r="AX426" s="24">
        <v>0</v>
      </c>
      <c r="AY426" s="23">
        <v>12</v>
      </c>
      <c r="AZ426" s="24">
        <v>0</v>
      </c>
      <c r="BA426" s="23">
        <v>12</v>
      </c>
      <c r="BB426" s="24">
        <v>4</v>
      </c>
      <c r="BC426" s="23">
        <v>6</v>
      </c>
      <c r="BD426" s="24">
        <v>4</v>
      </c>
      <c r="BE426" s="23">
        <v>6</v>
      </c>
      <c r="BF426" s="24">
        <v>0</v>
      </c>
      <c r="BG426" s="23">
        <v>12</v>
      </c>
      <c r="BH426" s="24">
        <v>13</v>
      </c>
      <c r="BI426" s="23">
        <v>19</v>
      </c>
      <c r="BJ426" s="24">
        <v>13</v>
      </c>
      <c r="BK426" s="23">
        <v>19</v>
      </c>
      <c r="BL426" s="24">
        <v>0</v>
      </c>
      <c r="BM426" s="20">
        <v>12</v>
      </c>
      <c r="BN426" s="19">
        <v>33</v>
      </c>
      <c r="BO426" s="23">
        <v>31</v>
      </c>
      <c r="BP426" s="24">
        <v>11</v>
      </c>
      <c r="BQ426" s="23">
        <v>12</v>
      </c>
      <c r="BR426" s="24">
        <v>11</v>
      </c>
      <c r="BS426" s="23">
        <v>12</v>
      </c>
      <c r="BT426" s="26">
        <v>0</v>
      </c>
      <c r="BU426" s="23">
        <v>12</v>
      </c>
      <c r="BV426" s="24">
        <v>15</v>
      </c>
      <c r="BW426" s="23">
        <v>19</v>
      </c>
      <c r="BX426" s="24">
        <v>15</v>
      </c>
      <c r="BY426" s="23">
        <v>19</v>
      </c>
      <c r="BZ426" s="24">
        <v>0</v>
      </c>
      <c r="CA426" s="23">
        <v>12</v>
      </c>
      <c r="CB426" s="24">
        <v>7</v>
      </c>
      <c r="CC426" s="23">
        <v>10</v>
      </c>
      <c r="CD426" s="24">
        <v>7</v>
      </c>
      <c r="CE426" s="23">
        <v>10</v>
      </c>
      <c r="CF426" s="24">
        <v>0</v>
      </c>
      <c r="CG426" s="20">
        <v>12</v>
      </c>
    </row>
    <row r="427" spans="1:85" x14ac:dyDescent="0.3">
      <c r="A427" t="s">
        <v>853</v>
      </c>
      <c r="B427">
        <v>21826</v>
      </c>
      <c r="C427" t="s">
        <v>854</v>
      </c>
      <c r="D427" s="19">
        <v>5304</v>
      </c>
      <c r="E427" s="20">
        <v>199</v>
      </c>
      <c r="F427" s="19">
        <v>980</v>
      </c>
      <c r="G427" s="23">
        <v>494</v>
      </c>
      <c r="H427" s="24">
        <v>223</v>
      </c>
      <c r="I427" s="23">
        <v>190</v>
      </c>
      <c r="J427" s="24">
        <v>223</v>
      </c>
      <c r="K427" s="23">
        <v>190</v>
      </c>
      <c r="L427" s="24">
        <v>0</v>
      </c>
      <c r="M427" s="23">
        <v>34</v>
      </c>
      <c r="N427" s="24">
        <v>717</v>
      </c>
      <c r="O427" s="23">
        <v>350</v>
      </c>
      <c r="P427" s="24">
        <v>578</v>
      </c>
      <c r="Q427" s="23">
        <v>314</v>
      </c>
      <c r="R427" s="24">
        <v>139</v>
      </c>
      <c r="S427" s="23">
        <v>137</v>
      </c>
      <c r="T427" s="24">
        <v>40</v>
      </c>
      <c r="U427" s="23">
        <v>49</v>
      </c>
      <c r="V427" s="24">
        <v>40</v>
      </c>
      <c r="W427" s="23">
        <v>49</v>
      </c>
      <c r="X427" s="24">
        <v>0</v>
      </c>
      <c r="Y427" s="20">
        <v>34</v>
      </c>
      <c r="Z427" s="19">
        <v>625</v>
      </c>
      <c r="AA427" s="23">
        <v>380</v>
      </c>
      <c r="AB427" s="24">
        <v>267</v>
      </c>
      <c r="AC427" s="23">
        <v>171</v>
      </c>
      <c r="AD427" s="24">
        <v>267</v>
      </c>
      <c r="AE427" s="23">
        <v>171</v>
      </c>
      <c r="AF427" s="24">
        <v>0</v>
      </c>
      <c r="AG427" s="23">
        <v>17</v>
      </c>
      <c r="AH427" s="24">
        <v>334</v>
      </c>
      <c r="AI427" s="23">
        <v>224</v>
      </c>
      <c r="AJ427" s="24">
        <v>322</v>
      </c>
      <c r="AK427" s="23">
        <v>218</v>
      </c>
      <c r="AL427" s="24">
        <v>12</v>
      </c>
      <c r="AM427" s="23">
        <v>18</v>
      </c>
      <c r="AN427" s="24">
        <v>24</v>
      </c>
      <c r="AO427" s="23">
        <v>24</v>
      </c>
      <c r="AP427" s="24">
        <v>14</v>
      </c>
      <c r="AQ427" s="23">
        <v>20</v>
      </c>
      <c r="AR427" s="24">
        <v>10</v>
      </c>
      <c r="AS427" s="20">
        <v>16</v>
      </c>
      <c r="AT427" s="19">
        <v>2198</v>
      </c>
      <c r="AU427" s="23">
        <v>526</v>
      </c>
      <c r="AV427" s="24">
        <v>612</v>
      </c>
      <c r="AW427" s="23">
        <v>215</v>
      </c>
      <c r="AX427" s="24">
        <v>545</v>
      </c>
      <c r="AY427" s="23">
        <v>210</v>
      </c>
      <c r="AZ427" s="24">
        <v>67</v>
      </c>
      <c r="BA427" s="23">
        <v>66</v>
      </c>
      <c r="BB427" s="24">
        <v>1227</v>
      </c>
      <c r="BC427" s="23">
        <v>349</v>
      </c>
      <c r="BD427" s="24">
        <v>967</v>
      </c>
      <c r="BE427" s="23">
        <v>327</v>
      </c>
      <c r="BF427" s="24">
        <v>260</v>
      </c>
      <c r="BG427" s="23">
        <v>160</v>
      </c>
      <c r="BH427" s="24">
        <v>359</v>
      </c>
      <c r="BI427" s="23">
        <v>182</v>
      </c>
      <c r="BJ427" s="24">
        <v>359</v>
      </c>
      <c r="BK427" s="23">
        <v>182</v>
      </c>
      <c r="BL427" s="24">
        <v>0</v>
      </c>
      <c r="BM427" s="20">
        <v>17</v>
      </c>
      <c r="BN427" s="19">
        <v>1501</v>
      </c>
      <c r="BO427" s="23">
        <v>360</v>
      </c>
      <c r="BP427" s="24">
        <v>241</v>
      </c>
      <c r="BQ427" s="23">
        <v>123</v>
      </c>
      <c r="BR427" s="24">
        <v>210</v>
      </c>
      <c r="BS427" s="23">
        <v>114</v>
      </c>
      <c r="BT427" s="26">
        <v>31</v>
      </c>
      <c r="BU427" s="23">
        <v>51</v>
      </c>
      <c r="BV427" s="24">
        <v>1107</v>
      </c>
      <c r="BW427" s="23">
        <v>279</v>
      </c>
      <c r="BX427" s="24">
        <v>1068</v>
      </c>
      <c r="BY427" s="23">
        <v>276</v>
      </c>
      <c r="BZ427" s="24">
        <v>39</v>
      </c>
      <c r="CA427" s="23">
        <v>49</v>
      </c>
      <c r="CB427" s="24">
        <v>153</v>
      </c>
      <c r="CC427" s="23">
        <v>75</v>
      </c>
      <c r="CD427" s="24">
        <v>153</v>
      </c>
      <c r="CE427" s="23">
        <v>75</v>
      </c>
      <c r="CF427" s="24">
        <v>0</v>
      </c>
      <c r="CG427" s="20">
        <v>17</v>
      </c>
    </row>
    <row r="428" spans="1:85" x14ac:dyDescent="0.3">
      <c r="A428" t="s">
        <v>855</v>
      </c>
      <c r="B428">
        <v>21829</v>
      </c>
      <c r="C428" t="s">
        <v>856</v>
      </c>
      <c r="D428" s="19">
        <v>438</v>
      </c>
      <c r="E428" s="20">
        <v>154</v>
      </c>
      <c r="F428" s="19">
        <v>18</v>
      </c>
      <c r="G428" s="23">
        <v>29</v>
      </c>
      <c r="H428" s="24">
        <v>0</v>
      </c>
      <c r="I428" s="23">
        <v>24</v>
      </c>
      <c r="J428" s="24">
        <v>0</v>
      </c>
      <c r="K428" s="23">
        <v>24</v>
      </c>
      <c r="L428" s="24">
        <v>0</v>
      </c>
      <c r="M428" s="23">
        <v>24</v>
      </c>
      <c r="N428" s="24">
        <v>0</v>
      </c>
      <c r="O428" s="23">
        <v>24</v>
      </c>
      <c r="P428" s="24">
        <v>0</v>
      </c>
      <c r="Q428" s="23">
        <v>24</v>
      </c>
      <c r="R428" s="24">
        <v>0</v>
      </c>
      <c r="S428" s="23">
        <v>24</v>
      </c>
      <c r="T428" s="24">
        <v>18</v>
      </c>
      <c r="U428" s="23">
        <v>29</v>
      </c>
      <c r="V428" s="24">
        <v>18</v>
      </c>
      <c r="W428" s="23">
        <v>29</v>
      </c>
      <c r="X428" s="24">
        <v>0</v>
      </c>
      <c r="Y428" s="20">
        <v>24</v>
      </c>
      <c r="Z428" s="19">
        <v>94</v>
      </c>
      <c r="AA428" s="23">
        <v>110</v>
      </c>
      <c r="AB428" s="24">
        <v>47</v>
      </c>
      <c r="AC428" s="23">
        <v>51</v>
      </c>
      <c r="AD428" s="24">
        <v>47</v>
      </c>
      <c r="AE428" s="23">
        <v>51</v>
      </c>
      <c r="AF428" s="24">
        <v>0</v>
      </c>
      <c r="AG428" s="23">
        <v>12</v>
      </c>
      <c r="AH428" s="24">
        <v>47</v>
      </c>
      <c r="AI428" s="23">
        <v>63</v>
      </c>
      <c r="AJ428" s="24">
        <v>47</v>
      </c>
      <c r="AK428" s="23">
        <v>63</v>
      </c>
      <c r="AL428" s="24">
        <v>0</v>
      </c>
      <c r="AM428" s="23">
        <v>12</v>
      </c>
      <c r="AN428" s="24">
        <v>0</v>
      </c>
      <c r="AO428" s="23">
        <v>12</v>
      </c>
      <c r="AP428" s="24">
        <v>0</v>
      </c>
      <c r="AQ428" s="23">
        <v>12</v>
      </c>
      <c r="AR428" s="24">
        <v>0</v>
      </c>
      <c r="AS428" s="20">
        <v>12</v>
      </c>
      <c r="AT428" s="19">
        <v>119</v>
      </c>
      <c r="AU428" s="23">
        <v>88</v>
      </c>
      <c r="AV428" s="24">
        <v>0</v>
      </c>
      <c r="AW428" s="23">
        <v>12</v>
      </c>
      <c r="AX428" s="24">
        <v>0</v>
      </c>
      <c r="AY428" s="23">
        <v>12</v>
      </c>
      <c r="AZ428" s="24">
        <v>0</v>
      </c>
      <c r="BA428" s="23">
        <v>12</v>
      </c>
      <c r="BB428" s="24">
        <v>69</v>
      </c>
      <c r="BC428" s="23">
        <v>74</v>
      </c>
      <c r="BD428" s="24">
        <v>69</v>
      </c>
      <c r="BE428" s="23">
        <v>74</v>
      </c>
      <c r="BF428" s="24">
        <v>0</v>
      </c>
      <c r="BG428" s="23">
        <v>12</v>
      </c>
      <c r="BH428" s="24">
        <v>50</v>
      </c>
      <c r="BI428" s="23">
        <v>40</v>
      </c>
      <c r="BJ428" s="24">
        <v>50</v>
      </c>
      <c r="BK428" s="23">
        <v>40</v>
      </c>
      <c r="BL428" s="24">
        <v>0</v>
      </c>
      <c r="BM428" s="20">
        <v>12</v>
      </c>
      <c r="BN428" s="19">
        <v>207</v>
      </c>
      <c r="BO428" s="23">
        <v>124</v>
      </c>
      <c r="BP428" s="24">
        <v>19</v>
      </c>
      <c r="BQ428" s="23">
        <v>29</v>
      </c>
      <c r="BR428" s="24">
        <v>19</v>
      </c>
      <c r="BS428" s="23">
        <v>29</v>
      </c>
      <c r="BT428" s="26">
        <v>0</v>
      </c>
      <c r="BU428" s="23">
        <v>12</v>
      </c>
      <c r="BV428" s="24">
        <v>188</v>
      </c>
      <c r="BW428" s="23">
        <v>112</v>
      </c>
      <c r="BX428" s="24">
        <v>158</v>
      </c>
      <c r="BY428" s="23">
        <v>102</v>
      </c>
      <c r="BZ428" s="24">
        <v>30</v>
      </c>
      <c r="CA428" s="23">
        <v>44</v>
      </c>
      <c r="CB428" s="24">
        <v>0</v>
      </c>
      <c r="CC428" s="23">
        <v>12</v>
      </c>
      <c r="CD428" s="24">
        <v>0</v>
      </c>
      <c r="CE428" s="23">
        <v>12</v>
      </c>
      <c r="CF428" s="24">
        <v>0</v>
      </c>
      <c r="CG428" s="20">
        <v>12</v>
      </c>
    </row>
    <row r="429" spans="1:85" x14ac:dyDescent="0.3">
      <c r="A429" t="s">
        <v>857</v>
      </c>
      <c r="B429">
        <v>21830</v>
      </c>
      <c r="C429" t="s">
        <v>858</v>
      </c>
      <c r="D429" s="19">
        <v>3602</v>
      </c>
      <c r="E429" s="20">
        <v>496</v>
      </c>
      <c r="F429" s="19">
        <v>285</v>
      </c>
      <c r="G429" s="23">
        <v>181</v>
      </c>
      <c r="H429" s="24">
        <v>52</v>
      </c>
      <c r="I429" s="23">
        <v>72</v>
      </c>
      <c r="J429" s="24">
        <v>52</v>
      </c>
      <c r="K429" s="23">
        <v>72</v>
      </c>
      <c r="L429" s="24">
        <v>0</v>
      </c>
      <c r="M429" s="23">
        <v>24</v>
      </c>
      <c r="N429" s="24">
        <v>82</v>
      </c>
      <c r="O429" s="23">
        <v>70</v>
      </c>
      <c r="P429" s="24">
        <v>82</v>
      </c>
      <c r="Q429" s="23">
        <v>70</v>
      </c>
      <c r="R429" s="24">
        <v>0</v>
      </c>
      <c r="S429" s="23">
        <v>24</v>
      </c>
      <c r="T429" s="24">
        <v>151</v>
      </c>
      <c r="U429" s="23">
        <v>139</v>
      </c>
      <c r="V429" s="24">
        <v>151</v>
      </c>
      <c r="W429" s="23">
        <v>139</v>
      </c>
      <c r="X429" s="24">
        <v>0</v>
      </c>
      <c r="Y429" s="20">
        <v>24</v>
      </c>
      <c r="Z429" s="19">
        <v>570</v>
      </c>
      <c r="AA429" s="23">
        <v>262</v>
      </c>
      <c r="AB429" s="24">
        <v>199</v>
      </c>
      <c r="AC429" s="23">
        <v>104</v>
      </c>
      <c r="AD429" s="24">
        <v>194</v>
      </c>
      <c r="AE429" s="23">
        <v>104</v>
      </c>
      <c r="AF429" s="24">
        <v>5</v>
      </c>
      <c r="AG429" s="23">
        <v>12</v>
      </c>
      <c r="AH429" s="24">
        <v>320</v>
      </c>
      <c r="AI429" s="23">
        <v>185</v>
      </c>
      <c r="AJ429" s="24">
        <v>227</v>
      </c>
      <c r="AK429" s="23">
        <v>137</v>
      </c>
      <c r="AL429" s="24">
        <v>93</v>
      </c>
      <c r="AM429" s="23">
        <v>125</v>
      </c>
      <c r="AN429" s="24">
        <v>51</v>
      </c>
      <c r="AO429" s="23">
        <v>40</v>
      </c>
      <c r="AP429" s="24">
        <v>51</v>
      </c>
      <c r="AQ429" s="23">
        <v>40</v>
      </c>
      <c r="AR429" s="24">
        <v>0</v>
      </c>
      <c r="AS429" s="20">
        <v>12</v>
      </c>
      <c r="AT429" s="19">
        <v>1382</v>
      </c>
      <c r="AU429" s="23">
        <v>398</v>
      </c>
      <c r="AV429" s="24">
        <v>298</v>
      </c>
      <c r="AW429" s="23">
        <v>126</v>
      </c>
      <c r="AX429" s="24">
        <v>298</v>
      </c>
      <c r="AY429" s="23">
        <v>126</v>
      </c>
      <c r="AZ429" s="24">
        <v>0</v>
      </c>
      <c r="BA429" s="23">
        <v>12</v>
      </c>
      <c r="BB429" s="24">
        <v>788</v>
      </c>
      <c r="BC429" s="23">
        <v>253</v>
      </c>
      <c r="BD429" s="24">
        <v>738</v>
      </c>
      <c r="BE429" s="23">
        <v>238</v>
      </c>
      <c r="BF429" s="24">
        <v>50</v>
      </c>
      <c r="BG429" s="23">
        <v>46</v>
      </c>
      <c r="BH429" s="24">
        <v>296</v>
      </c>
      <c r="BI429" s="23">
        <v>135</v>
      </c>
      <c r="BJ429" s="24">
        <v>296</v>
      </c>
      <c r="BK429" s="23">
        <v>135</v>
      </c>
      <c r="BL429" s="24">
        <v>0</v>
      </c>
      <c r="BM429" s="20">
        <v>12</v>
      </c>
      <c r="BN429" s="19">
        <v>1365</v>
      </c>
      <c r="BO429" s="23">
        <v>288</v>
      </c>
      <c r="BP429" s="24">
        <v>260</v>
      </c>
      <c r="BQ429" s="23">
        <v>109</v>
      </c>
      <c r="BR429" s="24">
        <v>254</v>
      </c>
      <c r="BS429" s="23">
        <v>108</v>
      </c>
      <c r="BT429" s="26">
        <v>6</v>
      </c>
      <c r="BU429" s="23">
        <v>10</v>
      </c>
      <c r="BV429" s="24">
        <v>1009</v>
      </c>
      <c r="BW429" s="23">
        <v>228</v>
      </c>
      <c r="BX429" s="24">
        <v>960</v>
      </c>
      <c r="BY429" s="23">
        <v>230</v>
      </c>
      <c r="BZ429" s="24">
        <v>49</v>
      </c>
      <c r="CA429" s="23">
        <v>64</v>
      </c>
      <c r="CB429" s="24">
        <v>96</v>
      </c>
      <c r="CC429" s="23">
        <v>64</v>
      </c>
      <c r="CD429" s="24">
        <v>96</v>
      </c>
      <c r="CE429" s="23">
        <v>64</v>
      </c>
      <c r="CF429" s="24">
        <v>0</v>
      </c>
      <c r="CG429" s="20">
        <v>12</v>
      </c>
    </row>
    <row r="430" spans="1:85" x14ac:dyDescent="0.3">
      <c r="A430" t="s">
        <v>859</v>
      </c>
      <c r="B430">
        <v>21835</v>
      </c>
      <c r="C430" t="s">
        <v>860</v>
      </c>
      <c r="D430" s="19">
        <v>406</v>
      </c>
      <c r="E430" s="20">
        <v>222</v>
      </c>
      <c r="F430" s="19">
        <v>46</v>
      </c>
      <c r="G430" s="23">
        <v>58</v>
      </c>
      <c r="H430" s="24">
        <v>0</v>
      </c>
      <c r="I430" s="23">
        <v>24</v>
      </c>
      <c r="J430" s="24">
        <v>0</v>
      </c>
      <c r="K430" s="23">
        <v>24</v>
      </c>
      <c r="L430" s="24">
        <v>0</v>
      </c>
      <c r="M430" s="23">
        <v>24</v>
      </c>
      <c r="N430" s="24">
        <v>38</v>
      </c>
      <c r="O430" s="23">
        <v>57</v>
      </c>
      <c r="P430" s="24">
        <v>38</v>
      </c>
      <c r="Q430" s="23">
        <v>57</v>
      </c>
      <c r="R430" s="24">
        <v>0</v>
      </c>
      <c r="S430" s="23">
        <v>24</v>
      </c>
      <c r="T430" s="24">
        <v>8</v>
      </c>
      <c r="U430" s="23">
        <v>23</v>
      </c>
      <c r="V430" s="24">
        <v>8</v>
      </c>
      <c r="W430" s="23">
        <v>23</v>
      </c>
      <c r="X430" s="24">
        <v>0</v>
      </c>
      <c r="Y430" s="20">
        <v>24</v>
      </c>
      <c r="Z430" s="19">
        <v>0</v>
      </c>
      <c r="AA430" s="23">
        <v>12</v>
      </c>
      <c r="AB430" s="24">
        <v>0</v>
      </c>
      <c r="AC430" s="23">
        <v>12</v>
      </c>
      <c r="AD430" s="24">
        <v>0</v>
      </c>
      <c r="AE430" s="23">
        <v>12</v>
      </c>
      <c r="AF430" s="24">
        <v>0</v>
      </c>
      <c r="AG430" s="23">
        <v>12</v>
      </c>
      <c r="AH430" s="24">
        <v>0</v>
      </c>
      <c r="AI430" s="23">
        <v>12</v>
      </c>
      <c r="AJ430" s="24">
        <v>0</v>
      </c>
      <c r="AK430" s="23">
        <v>12</v>
      </c>
      <c r="AL430" s="24">
        <v>0</v>
      </c>
      <c r="AM430" s="23">
        <v>12</v>
      </c>
      <c r="AN430" s="24">
        <v>0</v>
      </c>
      <c r="AO430" s="23">
        <v>12</v>
      </c>
      <c r="AP430" s="24">
        <v>0</v>
      </c>
      <c r="AQ430" s="23">
        <v>12</v>
      </c>
      <c r="AR430" s="24">
        <v>0</v>
      </c>
      <c r="AS430" s="20">
        <v>12</v>
      </c>
      <c r="AT430" s="19">
        <v>210</v>
      </c>
      <c r="AU430" s="23">
        <v>179</v>
      </c>
      <c r="AV430" s="24">
        <v>52</v>
      </c>
      <c r="AW430" s="23">
        <v>71</v>
      </c>
      <c r="AX430" s="24">
        <v>52</v>
      </c>
      <c r="AY430" s="23">
        <v>71</v>
      </c>
      <c r="AZ430" s="24">
        <v>0</v>
      </c>
      <c r="BA430" s="23">
        <v>12</v>
      </c>
      <c r="BB430" s="24">
        <v>114</v>
      </c>
      <c r="BC430" s="23">
        <v>109</v>
      </c>
      <c r="BD430" s="24">
        <v>71</v>
      </c>
      <c r="BE430" s="23">
        <v>81</v>
      </c>
      <c r="BF430" s="24">
        <v>43</v>
      </c>
      <c r="BG430" s="23">
        <v>67</v>
      </c>
      <c r="BH430" s="24">
        <v>44</v>
      </c>
      <c r="BI430" s="23">
        <v>45</v>
      </c>
      <c r="BJ430" s="24">
        <v>44</v>
      </c>
      <c r="BK430" s="23">
        <v>45</v>
      </c>
      <c r="BL430" s="24">
        <v>0</v>
      </c>
      <c r="BM430" s="20">
        <v>12</v>
      </c>
      <c r="BN430" s="19">
        <v>150</v>
      </c>
      <c r="BO430" s="23">
        <v>115</v>
      </c>
      <c r="BP430" s="24">
        <v>30</v>
      </c>
      <c r="BQ430" s="23">
        <v>44</v>
      </c>
      <c r="BR430" s="24">
        <v>30</v>
      </c>
      <c r="BS430" s="23">
        <v>44</v>
      </c>
      <c r="BT430" s="26">
        <v>0</v>
      </c>
      <c r="BU430" s="23">
        <v>12</v>
      </c>
      <c r="BV430" s="24">
        <v>120</v>
      </c>
      <c r="BW430" s="23">
        <v>86</v>
      </c>
      <c r="BX430" s="24">
        <v>88</v>
      </c>
      <c r="BY430" s="23">
        <v>70</v>
      </c>
      <c r="BZ430" s="24">
        <v>32</v>
      </c>
      <c r="CA430" s="23">
        <v>48</v>
      </c>
      <c r="CB430" s="24">
        <v>0</v>
      </c>
      <c r="CC430" s="23">
        <v>12</v>
      </c>
      <c r="CD430" s="24">
        <v>0</v>
      </c>
      <c r="CE430" s="23">
        <v>12</v>
      </c>
      <c r="CF430" s="24">
        <v>0</v>
      </c>
      <c r="CG430" s="20">
        <v>12</v>
      </c>
    </row>
    <row r="431" spans="1:85" x14ac:dyDescent="0.3">
      <c r="A431" t="s">
        <v>861</v>
      </c>
      <c r="B431">
        <v>21837</v>
      </c>
      <c r="C431" t="s">
        <v>862</v>
      </c>
      <c r="D431" s="19">
        <v>3093</v>
      </c>
      <c r="E431" s="20">
        <v>266</v>
      </c>
      <c r="F431" s="19">
        <v>664</v>
      </c>
      <c r="G431" s="23">
        <v>294</v>
      </c>
      <c r="H431" s="24">
        <v>174</v>
      </c>
      <c r="I431" s="23">
        <v>133</v>
      </c>
      <c r="J431" s="24">
        <v>167</v>
      </c>
      <c r="K431" s="23">
        <v>129</v>
      </c>
      <c r="L431" s="24">
        <v>7</v>
      </c>
      <c r="M431" s="23">
        <v>23</v>
      </c>
      <c r="N431" s="24">
        <v>395</v>
      </c>
      <c r="O431" s="23">
        <v>169</v>
      </c>
      <c r="P431" s="24">
        <v>333</v>
      </c>
      <c r="Q431" s="23">
        <v>138</v>
      </c>
      <c r="R431" s="24">
        <v>62</v>
      </c>
      <c r="S431" s="23">
        <v>75</v>
      </c>
      <c r="T431" s="24">
        <v>95</v>
      </c>
      <c r="U431" s="23">
        <v>82</v>
      </c>
      <c r="V431" s="24">
        <v>95</v>
      </c>
      <c r="W431" s="23">
        <v>82</v>
      </c>
      <c r="X431" s="24">
        <v>0</v>
      </c>
      <c r="Y431" s="20">
        <v>24</v>
      </c>
      <c r="Z431" s="19">
        <v>298</v>
      </c>
      <c r="AA431" s="23">
        <v>139</v>
      </c>
      <c r="AB431" s="24">
        <v>90</v>
      </c>
      <c r="AC431" s="23">
        <v>73</v>
      </c>
      <c r="AD431" s="24">
        <v>90</v>
      </c>
      <c r="AE431" s="23">
        <v>73</v>
      </c>
      <c r="AF431" s="24">
        <v>0</v>
      </c>
      <c r="AG431" s="23">
        <v>12</v>
      </c>
      <c r="AH431" s="24">
        <v>174</v>
      </c>
      <c r="AI431" s="23">
        <v>75</v>
      </c>
      <c r="AJ431" s="24">
        <v>147</v>
      </c>
      <c r="AK431" s="23">
        <v>58</v>
      </c>
      <c r="AL431" s="24">
        <v>27</v>
      </c>
      <c r="AM431" s="23">
        <v>37</v>
      </c>
      <c r="AN431" s="24">
        <v>34</v>
      </c>
      <c r="AO431" s="23">
        <v>49</v>
      </c>
      <c r="AP431" s="24">
        <v>34</v>
      </c>
      <c r="AQ431" s="23">
        <v>49</v>
      </c>
      <c r="AR431" s="24">
        <v>0</v>
      </c>
      <c r="AS431" s="20">
        <v>12</v>
      </c>
      <c r="AT431" s="19">
        <v>1141</v>
      </c>
      <c r="AU431" s="23">
        <v>328</v>
      </c>
      <c r="AV431" s="24">
        <v>326</v>
      </c>
      <c r="AW431" s="23">
        <v>159</v>
      </c>
      <c r="AX431" s="24">
        <v>326</v>
      </c>
      <c r="AY431" s="23">
        <v>159</v>
      </c>
      <c r="AZ431" s="24">
        <v>0</v>
      </c>
      <c r="BA431" s="23">
        <v>12</v>
      </c>
      <c r="BB431" s="24">
        <v>636</v>
      </c>
      <c r="BC431" s="23">
        <v>197</v>
      </c>
      <c r="BD431" s="24">
        <v>570</v>
      </c>
      <c r="BE431" s="23">
        <v>198</v>
      </c>
      <c r="BF431" s="24">
        <v>66</v>
      </c>
      <c r="BG431" s="23">
        <v>59</v>
      </c>
      <c r="BH431" s="24">
        <v>179</v>
      </c>
      <c r="BI431" s="23">
        <v>115</v>
      </c>
      <c r="BJ431" s="24">
        <v>179</v>
      </c>
      <c r="BK431" s="23">
        <v>115</v>
      </c>
      <c r="BL431" s="24">
        <v>0</v>
      </c>
      <c r="BM431" s="20">
        <v>12</v>
      </c>
      <c r="BN431" s="19">
        <v>990</v>
      </c>
      <c r="BO431" s="23">
        <v>240</v>
      </c>
      <c r="BP431" s="24">
        <v>172</v>
      </c>
      <c r="BQ431" s="23">
        <v>87</v>
      </c>
      <c r="BR431" s="24">
        <v>171</v>
      </c>
      <c r="BS431" s="23">
        <v>87</v>
      </c>
      <c r="BT431" s="26">
        <v>1</v>
      </c>
      <c r="BU431" s="23">
        <v>2</v>
      </c>
      <c r="BV431" s="24">
        <v>705</v>
      </c>
      <c r="BW431" s="23">
        <v>167</v>
      </c>
      <c r="BX431" s="24">
        <v>659</v>
      </c>
      <c r="BY431" s="23">
        <v>161</v>
      </c>
      <c r="BZ431" s="24">
        <v>46</v>
      </c>
      <c r="CA431" s="23">
        <v>35</v>
      </c>
      <c r="CB431" s="24">
        <v>113</v>
      </c>
      <c r="CC431" s="23">
        <v>72</v>
      </c>
      <c r="CD431" s="24">
        <v>113</v>
      </c>
      <c r="CE431" s="23">
        <v>72</v>
      </c>
      <c r="CF431" s="24">
        <v>0</v>
      </c>
      <c r="CG431" s="20">
        <v>12</v>
      </c>
    </row>
    <row r="432" spans="1:85" x14ac:dyDescent="0.3">
      <c r="A432" t="s">
        <v>863</v>
      </c>
      <c r="B432">
        <v>21838</v>
      </c>
      <c r="C432" t="s">
        <v>864</v>
      </c>
      <c r="D432" s="19">
        <v>1589</v>
      </c>
      <c r="E432" s="20">
        <v>267</v>
      </c>
      <c r="F432" s="19">
        <v>352</v>
      </c>
      <c r="G432" s="23">
        <v>299</v>
      </c>
      <c r="H432" s="24">
        <v>89</v>
      </c>
      <c r="I432" s="23">
        <v>110</v>
      </c>
      <c r="J432" s="24">
        <v>89</v>
      </c>
      <c r="K432" s="23">
        <v>110</v>
      </c>
      <c r="L432" s="24">
        <v>0</v>
      </c>
      <c r="M432" s="23">
        <v>24</v>
      </c>
      <c r="N432" s="24">
        <v>127</v>
      </c>
      <c r="O432" s="23">
        <v>138</v>
      </c>
      <c r="P432" s="24">
        <v>127</v>
      </c>
      <c r="Q432" s="23">
        <v>138</v>
      </c>
      <c r="R432" s="24">
        <v>0</v>
      </c>
      <c r="S432" s="23">
        <v>24</v>
      </c>
      <c r="T432" s="24">
        <v>136</v>
      </c>
      <c r="U432" s="23">
        <v>104</v>
      </c>
      <c r="V432" s="24">
        <v>136</v>
      </c>
      <c r="W432" s="23">
        <v>104</v>
      </c>
      <c r="X432" s="24">
        <v>0</v>
      </c>
      <c r="Y432" s="20">
        <v>24</v>
      </c>
      <c r="Z432" s="19">
        <v>249</v>
      </c>
      <c r="AA432" s="23">
        <v>174</v>
      </c>
      <c r="AB432" s="24">
        <v>50</v>
      </c>
      <c r="AC432" s="23">
        <v>47</v>
      </c>
      <c r="AD432" s="24">
        <v>50</v>
      </c>
      <c r="AE432" s="23">
        <v>47</v>
      </c>
      <c r="AF432" s="24">
        <v>0</v>
      </c>
      <c r="AG432" s="23">
        <v>12</v>
      </c>
      <c r="AH432" s="24">
        <v>161</v>
      </c>
      <c r="AI432" s="23">
        <v>135</v>
      </c>
      <c r="AJ432" s="24">
        <v>161</v>
      </c>
      <c r="AK432" s="23">
        <v>135</v>
      </c>
      <c r="AL432" s="24">
        <v>0</v>
      </c>
      <c r="AM432" s="23">
        <v>12</v>
      </c>
      <c r="AN432" s="24">
        <v>38</v>
      </c>
      <c r="AO432" s="23">
        <v>40</v>
      </c>
      <c r="AP432" s="24">
        <v>38</v>
      </c>
      <c r="AQ432" s="23">
        <v>40</v>
      </c>
      <c r="AR432" s="24">
        <v>0</v>
      </c>
      <c r="AS432" s="20">
        <v>12</v>
      </c>
      <c r="AT432" s="19">
        <v>345</v>
      </c>
      <c r="AU432" s="23">
        <v>165</v>
      </c>
      <c r="AV432" s="24">
        <v>46</v>
      </c>
      <c r="AW432" s="23">
        <v>44</v>
      </c>
      <c r="AX432" s="24">
        <v>46</v>
      </c>
      <c r="AY432" s="23">
        <v>44</v>
      </c>
      <c r="AZ432" s="24">
        <v>0</v>
      </c>
      <c r="BA432" s="23">
        <v>12</v>
      </c>
      <c r="BB432" s="24">
        <v>190</v>
      </c>
      <c r="BC432" s="23">
        <v>113</v>
      </c>
      <c r="BD432" s="24">
        <v>161</v>
      </c>
      <c r="BE432" s="23">
        <v>98</v>
      </c>
      <c r="BF432" s="24">
        <v>29</v>
      </c>
      <c r="BG432" s="23">
        <v>26</v>
      </c>
      <c r="BH432" s="24">
        <v>109</v>
      </c>
      <c r="BI432" s="23">
        <v>64</v>
      </c>
      <c r="BJ432" s="24">
        <v>109</v>
      </c>
      <c r="BK432" s="23">
        <v>64</v>
      </c>
      <c r="BL432" s="24">
        <v>0</v>
      </c>
      <c r="BM432" s="20">
        <v>12</v>
      </c>
      <c r="BN432" s="19">
        <v>643</v>
      </c>
      <c r="BO432" s="23">
        <v>221</v>
      </c>
      <c r="BP432" s="24">
        <v>111</v>
      </c>
      <c r="BQ432" s="23">
        <v>73</v>
      </c>
      <c r="BR432" s="24">
        <v>111</v>
      </c>
      <c r="BS432" s="23">
        <v>73</v>
      </c>
      <c r="BT432" s="26">
        <v>0</v>
      </c>
      <c r="BU432" s="23">
        <v>12</v>
      </c>
      <c r="BV432" s="24">
        <v>465</v>
      </c>
      <c r="BW432" s="23">
        <v>148</v>
      </c>
      <c r="BX432" s="24">
        <v>414</v>
      </c>
      <c r="BY432" s="23">
        <v>136</v>
      </c>
      <c r="BZ432" s="24">
        <v>51</v>
      </c>
      <c r="CA432" s="23">
        <v>39</v>
      </c>
      <c r="CB432" s="24">
        <v>67</v>
      </c>
      <c r="CC432" s="23">
        <v>48</v>
      </c>
      <c r="CD432" s="24">
        <v>67</v>
      </c>
      <c r="CE432" s="23">
        <v>48</v>
      </c>
      <c r="CF432" s="24">
        <v>0</v>
      </c>
      <c r="CG432" s="20">
        <v>12</v>
      </c>
    </row>
    <row r="433" spans="1:85" x14ac:dyDescent="0.3">
      <c r="A433" t="s">
        <v>865</v>
      </c>
      <c r="B433">
        <v>21840</v>
      </c>
      <c r="C433" t="s">
        <v>866</v>
      </c>
      <c r="D433" s="19">
        <v>364</v>
      </c>
      <c r="E433" s="20">
        <v>205</v>
      </c>
      <c r="F433" s="19">
        <v>96</v>
      </c>
      <c r="G433" s="23">
        <v>142</v>
      </c>
      <c r="H433" s="24">
        <v>16</v>
      </c>
      <c r="I433" s="23">
        <v>37</v>
      </c>
      <c r="J433" s="24">
        <v>16</v>
      </c>
      <c r="K433" s="23">
        <v>37</v>
      </c>
      <c r="L433" s="24">
        <v>0</v>
      </c>
      <c r="M433" s="23">
        <v>24</v>
      </c>
      <c r="N433" s="24">
        <v>80</v>
      </c>
      <c r="O433" s="23">
        <v>118</v>
      </c>
      <c r="P433" s="24">
        <v>80</v>
      </c>
      <c r="Q433" s="23">
        <v>118</v>
      </c>
      <c r="R433" s="24">
        <v>0</v>
      </c>
      <c r="S433" s="23">
        <v>24</v>
      </c>
      <c r="T433" s="24">
        <v>0</v>
      </c>
      <c r="U433" s="23">
        <v>24</v>
      </c>
      <c r="V433" s="24">
        <v>0</v>
      </c>
      <c r="W433" s="23">
        <v>24</v>
      </c>
      <c r="X433" s="24">
        <v>0</v>
      </c>
      <c r="Y433" s="20">
        <v>24</v>
      </c>
      <c r="Z433" s="19">
        <v>0</v>
      </c>
      <c r="AA433" s="23">
        <v>12</v>
      </c>
      <c r="AB433" s="24">
        <v>0</v>
      </c>
      <c r="AC433" s="23">
        <v>12</v>
      </c>
      <c r="AD433" s="24">
        <v>0</v>
      </c>
      <c r="AE433" s="23">
        <v>12</v>
      </c>
      <c r="AF433" s="24">
        <v>0</v>
      </c>
      <c r="AG433" s="23">
        <v>12</v>
      </c>
      <c r="AH433" s="24">
        <v>0</v>
      </c>
      <c r="AI433" s="23">
        <v>12</v>
      </c>
      <c r="AJ433" s="24">
        <v>0</v>
      </c>
      <c r="AK433" s="23">
        <v>12</v>
      </c>
      <c r="AL433" s="24">
        <v>0</v>
      </c>
      <c r="AM433" s="23">
        <v>12</v>
      </c>
      <c r="AN433" s="24">
        <v>0</v>
      </c>
      <c r="AO433" s="23">
        <v>12</v>
      </c>
      <c r="AP433" s="24">
        <v>0</v>
      </c>
      <c r="AQ433" s="23">
        <v>12</v>
      </c>
      <c r="AR433" s="24">
        <v>0</v>
      </c>
      <c r="AS433" s="20">
        <v>12</v>
      </c>
      <c r="AT433" s="19">
        <v>77</v>
      </c>
      <c r="AU433" s="23">
        <v>122</v>
      </c>
      <c r="AV433" s="24">
        <v>0</v>
      </c>
      <c r="AW433" s="23">
        <v>12</v>
      </c>
      <c r="AX433" s="24">
        <v>0</v>
      </c>
      <c r="AY433" s="23">
        <v>12</v>
      </c>
      <c r="AZ433" s="24">
        <v>0</v>
      </c>
      <c r="BA433" s="23">
        <v>12</v>
      </c>
      <c r="BB433" s="24">
        <v>19</v>
      </c>
      <c r="BC433" s="23">
        <v>31</v>
      </c>
      <c r="BD433" s="24">
        <v>19</v>
      </c>
      <c r="BE433" s="23">
        <v>31</v>
      </c>
      <c r="BF433" s="24">
        <v>0</v>
      </c>
      <c r="BG433" s="23">
        <v>12</v>
      </c>
      <c r="BH433" s="24">
        <v>58</v>
      </c>
      <c r="BI433" s="23">
        <v>91</v>
      </c>
      <c r="BJ433" s="24">
        <v>58</v>
      </c>
      <c r="BK433" s="23">
        <v>91</v>
      </c>
      <c r="BL433" s="24">
        <v>0</v>
      </c>
      <c r="BM433" s="20">
        <v>12</v>
      </c>
      <c r="BN433" s="19">
        <v>191</v>
      </c>
      <c r="BO433" s="23">
        <v>109</v>
      </c>
      <c r="BP433" s="24">
        <v>0</v>
      </c>
      <c r="BQ433" s="23">
        <v>12</v>
      </c>
      <c r="BR433" s="24">
        <v>0</v>
      </c>
      <c r="BS433" s="23">
        <v>12</v>
      </c>
      <c r="BT433" s="26">
        <v>0</v>
      </c>
      <c r="BU433" s="23">
        <v>12</v>
      </c>
      <c r="BV433" s="24">
        <v>57</v>
      </c>
      <c r="BW433" s="23">
        <v>69</v>
      </c>
      <c r="BX433" s="24">
        <v>57</v>
      </c>
      <c r="BY433" s="23">
        <v>69</v>
      </c>
      <c r="BZ433" s="24">
        <v>0</v>
      </c>
      <c r="CA433" s="23">
        <v>12</v>
      </c>
      <c r="CB433" s="24">
        <v>134</v>
      </c>
      <c r="CC433" s="23">
        <v>88</v>
      </c>
      <c r="CD433" s="24">
        <v>134</v>
      </c>
      <c r="CE433" s="23">
        <v>88</v>
      </c>
      <c r="CF433" s="24">
        <v>0</v>
      </c>
      <c r="CG433" s="20">
        <v>12</v>
      </c>
    </row>
    <row r="434" spans="1:85" x14ac:dyDescent="0.3">
      <c r="A434" t="s">
        <v>867</v>
      </c>
      <c r="B434">
        <v>21841</v>
      </c>
      <c r="C434" t="s">
        <v>868</v>
      </c>
      <c r="D434" s="19">
        <v>1197</v>
      </c>
      <c r="E434" s="20">
        <v>288</v>
      </c>
      <c r="F434" s="19">
        <v>217</v>
      </c>
      <c r="G434" s="23">
        <v>233</v>
      </c>
      <c r="H434" s="24">
        <v>154</v>
      </c>
      <c r="I434" s="23">
        <v>178</v>
      </c>
      <c r="J434" s="24">
        <v>154</v>
      </c>
      <c r="K434" s="23">
        <v>178</v>
      </c>
      <c r="L434" s="24">
        <v>0</v>
      </c>
      <c r="M434" s="23">
        <v>24</v>
      </c>
      <c r="N434" s="24">
        <v>45</v>
      </c>
      <c r="O434" s="23">
        <v>59</v>
      </c>
      <c r="P434" s="24">
        <v>45</v>
      </c>
      <c r="Q434" s="23">
        <v>59</v>
      </c>
      <c r="R434" s="24">
        <v>0</v>
      </c>
      <c r="S434" s="23">
        <v>24</v>
      </c>
      <c r="T434" s="24">
        <v>18</v>
      </c>
      <c r="U434" s="23">
        <v>32</v>
      </c>
      <c r="V434" s="24">
        <v>18</v>
      </c>
      <c r="W434" s="23">
        <v>32</v>
      </c>
      <c r="X434" s="24">
        <v>0</v>
      </c>
      <c r="Y434" s="20">
        <v>24</v>
      </c>
      <c r="Z434" s="19">
        <v>167</v>
      </c>
      <c r="AA434" s="23">
        <v>170</v>
      </c>
      <c r="AB434" s="24">
        <v>94</v>
      </c>
      <c r="AC434" s="23">
        <v>114</v>
      </c>
      <c r="AD434" s="24">
        <v>17</v>
      </c>
      <c r="AE434" s="23">
        <v>28</v>
      </c>
      <c r="AF434" s="24">
        <v>77</v>
      </c>
      <c r="AG434" s="23">
        <v>111</v>
      </c>
      <c r="AH434" s="24">
        <v>47</v>
      </c>
      <c r="AI434" s="23">
        <v>55</v>
      </c>
      <c r="AJ434" s="24">
        <v>10</v>
      </c>
      <c r="AK434" s="23">
        <v>15</v>
      </c>
      <c r="AL434" s="24">
        <v>37</v>
      </c>
      <c r="AM434" s="23">
        <v>54</v>
      </c>
      <c r="AN434" s="24">
        <v>26</v>
      </c>
      <c r="AO434" s="23">
        <v>31</v>
      </c>
      <c r="AP434" s="24">
        <v>26</v>
      </c>
      <c r="AQ434" s="23">
        <v>31</v>
      </c>
      <c r="AR434" s="24">
        <v>0</v>
      </c>
      <c r="AS434" s="20">
        <v>12</v>
      </c>
      <c r="AT434" s="19">
        <v>400</v>
      </c>
      <c r="AU434" s="23">
        <v>184</v>
      </c>
      <c r="AV434" s="24">
        <v>91</v>
      </c>
      <c r="AW434" s="23">
        <v>84</v>
      </c>
      <c r="AX434" s="24">
        <v>91</v>
      </c>
      <c r="AY434" s="23">
        <v>84</v>
      </c>
      <c r="AZ434" s="24">
        <v>0</v>
      </c>
      <c r="BA434" s="23">
        <v>12</v>
      </c>
      <c r="BB434" s="24">
        <v>239</v>
      </c>
      <c r="BC434" s="23">
        <v>134</v>
      </c>
      <c r="BD434" s="24">
        <v>187</v>
      </c>
      <c r="BE434" s="23">
        <v>95</v>
      </c>
      <c r="BF434" s="24">
        <v>52</v>
      </c>
      <c r="BG434" s="23">
        <v>61</v>
      </c>
      <c r="BH434" s="24">
        <v>70</v>
      </c>
      <c r="BI434" s="23">
        <v>49</v>
      </c>
      <c r="BJ434" s="24">
        <v>70</v>
      </c>
      <c r="BK434" s="23">
        <v>49</v>
      </c>
      <c r="BL434" s="24">
        <v>0</v>
      </c>
      <c r="BM434" s="20">
        <v>12</v>
      </c>
      <c r="BN434" s="19">
        <v>413</v>
      </c>
      <c r="BO434" s="23">
        <v>196</v>
      </c>
      <c r="BP434" s="24">
        <v>16</v>
      </c>
      <c r="BQ434" s="23">
        <v>18</v>
      </c>
      <c r="BR434" s="24">
        <v>16</v>
      </c>
      <c r="BS434" s="23">
        <v>18</v>
      </c>
      <c r="BT434" s="26">
        <v>0</v>
      </c>
      <c r="BU434" s="23">
        <v>12</v>
      </c>
      <c r="BV434" s="24">
        <v>315</v>
      </c>
      <c r="BW434" s="23">
        <v>162</v>
      </c>
      <c r="BX434" s="24">
        <v>279</v>
      </c>
      <c r="BY434" s="23">
        <v>139</v>
      </c>
      <c r="BZ434" s="24">
        <v>36</v>
      </c>
      <c r="CA434" s="23">
        <v>44</v>
      </c>
      <c r="CB434" s="24">
        <v>82</v>
      </c>
      <c r="CC434" s="23">
        <v>100</v>
      </c>
      <c r="CD434" s="24">
        <v>82</v>
      </c>
      <c r="CE434" s="23">
        <v>100</v>
      </c>
      <c r="CF434" s="24">
        <v>0</v>
      </c>
      <c r="CG434" s="20">
        <v>12</v>
      </c>
    </row>
    <row r="435" spans="1:85" x14ac:dyDescent="0.3">
      <c r="A435" t="s">
        <v>869</v>
      </c>
      <c r="B435">
        <v>21842</v>
      </c>
      <c r="C435" t="s">
        <v>870</v>
      </c>
      <c r="D435" s="19">
        <v>10621</v>
      </c>
      <c r="E435" s="20">
        <v>457</v>
      </c>
      <c r="F435" s="19">
        <v>1449</v>
      </c>
      <c r="G435" s="23">
        <v>417</v>
      </c>
      <c r="H435" s="24">
        <v>177</v>
      </c>
      <c r="I435" s="23">
        <v>132</v>
      </c>
      <c r="J435" s="24">
        <v>177</v>
      </c>
      <c r="K435" s="23">
        <v>132</v>
      </c>
      <c r="L435" s="24">
        <v>0</v>
      </c>
      <c r="M435" s="23">
        <v>38</v>
      </c>
      <c r="N435" s="24">
        <v>1109</v>
      </c>
      <c r="O435" s="23">
        <v>314</v>
      </c>
      <c r="P435" s="24">
        <v>867</v>
      </c>
      <c r="Q435" s="23">
        <v>262</v>
      </c>
      <c r="R435" s="24">
        <v>242</v>
      </c>
      <c r="S435" s="23">
        <v>135</v>
      </c>
      <c r="T435" s="24">
        <v>163</v>
      </c>
      <c r="U435" s="23">
        <v>101</v>
      </c>
      <c r="V435" s="24">
        <v>154</v>
      </c>
      <c r="W435" s="23">
        <v>99</v>
      </c>
      <c r="X435" s="24">
        <v>9</v>
      </c>
      <c r="Y435" s="20">
        <v>33</v>
      </c>
      <c r="Z435" s="19">
        <v>1077</v>
      </c>
      <c r="AA435" s="23">
        <v>247</v>
      </c>
      <c r="AB435" s="24">
        <v>152</v>
      </c>
      <c r="AC435" s="23">
        <v>92</v>
      </c>
      <c r="AD435" s="24">
        <v>152</v>
      </c>
      <c r="AE435" s="23">
        <v>92</v>
      </c>
      <c r="AF435" s="24">
        <v>0</v>
      </c>
      <c r="AG435" s="23">
        <v>19</v>
      </c>
      <c r="AH435" s="24">
        <v>519</v>
      </c>
      <c r="AI435" s="23">
        <v>145</v>
      </c>
      <c r="AJ435" s="24">
        <v>411</v>
      </c>
      <c r="AK435" s="23">
        <v>131</v>
      </c>
      <c r="AL435" s="24">
        <v>108</v>
      </c>
      <c r="AM435" s="23">
        <v>62</v>
      </c>
      <c r="AN435" s="24">
        <v>406</v>
      </c>
      <c r="AO435" s="23">
        <v>131</v>
      </c>
      <c r="AP435" s="24">
        <v>406</v>
      </c>
      <c r="AQ435" s="23">
        <v>131</v>
      </c>
      <c r="AR435" s="24">
        <v>0</v>
      </c>
      <c r="AS435" s="20">
        <v>19</v>
      </c>
      <c r="AT435" s="19">
        <v>3275</v>
      </c>
      <c r="AU435" s="23">
        <v>470</v>
      </c>
      <c r="AV435" s="24">
        <v>398</v>
      </c>
      <c r="AW435" s="23">
        <v>187</v>
      </c>
      <c r="AX435" s="24">
        <v>398</v>
      </c>
      <c r="AY435" s="23">
        <v>187</v>
      </c>
      <c r="AZ435" s="24">
        <v>0</v>
      </c>
      <c r="BA435" s="23">
        <v>19</v>
      </c>
      <c r="BB435" s="24">
        <v>1911</v>
      </c>
      <c r="BC435" s="23">
        <v>302</v>
      </c>
      <c r="BD435" s="24">
        <v>1696</v>
      </c>
      <c r="BE435" s="23">
        <v>280</v>
      </c>
      <c r="BF435" s="24">
        <v>215</v>
      </c>
      <c r="BG435" s="23">
        <v>94</v>
      </c>
      <c r="BH435" s="24">
        <v>966</v>
      </c>
      <c r="BI435" s="23">
        <v>178</v>
      </c>
      <c r="BJ435" s="24">
        <v>966</v>
      </c>
      <c r="BK435" s="23">
        <v>178</v>
      </c>
      <c r="BL435" s="24">
        <v>0</v>
      </c>
      <c r="BM435" s="20">
        <v>19</v>
      </c>
      <c r="BN435" s="19">
        <v>4820</v>
      </c>
      <c r="BO435" s="23">
        <v>439</v>
      </c>
      <c r="BP435" s="24">
        <v>505</v>
      </c>
      <c r="BQ435" s="23">
        <v>168</v>
      </c>
      <c r="BR435" s="24">
        <v>481</v>
      </c>
      <c r="BS435" s="23">
        <v>164</v>
      </c>
      <c r="BT435" s="26">
        <v>24</v>
      </c>
      <c r="BU435" s="23">
        <v>35</v>
      </c>
      <c r="BV435" s="24">
        <v>2731</v>
      </c>
      <c r="BW435" s="23">
        <v>297</v>
      </c>
      <c r="BX435" s="24">
        <v>2553</v>
      </c>
      <c r="BY435" s="23">
        <v>281</v>
      </c>
      <c r="BZ435" s="24">
        <v>178</v>
      </c>
      <c r="CA435" s="23">
        <v>117</v>
      </c>
      <c r="CB435" s="24">
        <v>1584</v>
      </c>
      <c r="CC435" s="23">
        <v>228</v>
      </c>
      <c r="CD435" s="24">
        <v>1584</v>
      </c>
      <c r="CE435" s="23">
        <v>228</v>
      </c>
      <c r="CF435" s="24">
        <v>0</v>
      </c>
      <c r="CG435" s="20">
        <v>19</v>
      </c>
    </row>
    <row r="436" spans="1:85" x14ac:dyDescent="0.3">
      <c r="A436" t="s">
        <v>871</v>
      </c>
      <c r="B436">
        <v>21849</v>
      </c>
      <c r="C436" t="s">
        <v>872</v>
      </c>
      <c r="D436" s="19">
        <v>3341</v>
      </c>
      <c r="E436" s="20">
        <v>488</v>
      </c>
      <c r="F436" s="19">
        <v>559</v>
      </c>
      <c r="G436" s="23">
        <v>311</v>
      </c>
      <c r="H436" s="24">
        <v>187</v>
      </c>
      <c r="I436" s="23">
        <v>159</v>
      </c>
      <c r="J436" s="24">
        <v>187</v>
      </c>
      <c r="K436" s="23">
        <v>159</v>
      </c>
      <c r="L436" s="24">
        <v>0</v>
      </c>
      <c r="M436" s="23">
        <v>24</v>
      </c>
      <c r="N436" s="24">
        <v>292</v>
      </c>
      <c r="O436" s="23">
        <v>195</v>
      </c>
      <c r="P436" s="24">
        <v>262</v>
      </c>
      <c r="Q436" s="23">
        <v>182</v>
      </c>
      <c r="R436" s="24">
        <v>30</v>
      </c>
      <c r="S436" s="23">
        <v>44</v>
      </c>
      <c r="T436" s="24">
        <v>80</v>
      </c>
      <c r="U436" s="23">
        <v>95</v>
      </c>
      <c r="V436" s="24">
        <v>80</v>
      </c>
      <c r="W436" s="23">
        <v>95</v>
      </c>
      <c r="X436" s="24">
        <v>0</v>
      </c>
      <c r="Y436" s="20">
        <v>24</v>
      </c>
      <c r="Z436" s="19">
        <v>515</v>
      </c>
      <c r="AA436" s="23">
        <v>289</v>
      </c>
      <c r="AB436" s="24">
        <v>107</v>
      </c>
      <c r="AC436" s="23">
        <v>111</v>
      </c>
      <c r="AD436" s="24">
        <v>107</v>
      </c>
      <c r="AE436" s="23">
        <v>111</v>
      </c>
      <c r="AF436" s="24">
        <v>0</v>
      </c>
      <c r="AG436" s="23">
        <v>12</v>
      </c>
      <c r="AH436" s="24">
        <v>245</v>
      </c>
      <c r="AI436" s="23">
        <v>186</v>
      </c>
      <c r="AJ436" s="24">
        <v>160</v>
      </c>
      <c r="AK436" s="23">
        <v>127</v>
      </c>
      <c r="AL436" s="24">
        <v>85</v>
      </c>
      <c r="AM436" s="23">
        <v>126</v>
      </c>
      <c r="AN436" s="24">
        <v>163</v>
      </c>
      <c r="AO436" s="23">
        <v>89</v>
      </c>
      <c r="AP436" s="24">
        <v>163</v>
      </c>
      <c r="AQ436" s="23">
        <v>89</v>
      </c>
      <c r="AR436" s="24">
        <v>0</v>
      </c>
      <c r="AS436" s="20">
        <v>12</v>
      </c>
      <c r="AT436" s="19">
        <v>1378</v>
      </c>
      <c r="AU436" s="23">
        <v>383</v>
      </c>
      <c r="AV436" s="24">
        <v>301</v>
      </c>
      <c r="AW436" s="23">
        <v>159</v>
      </c>
      <c r="AX436" s="24">
        <v>301</v>
      </c>
      <c r="AY436" s="23">
        <v>159</v>
      </c>
      <c r="AZ436" s="24">
        <v>0</v>
      </c>
      <c r="BA436" s="23">
        <v>12</v>
      </c>
      <c r="BB436" s="24">
        <v>758</v>
      </c>
      <c r="BC436" s="23">
        <v>235</v>
      </c>
      <c r="BD436" s="24">
        <v>707</v>
      </c>
      <c r="BE436" s="23">
        <v>233</v>
      </c>
      <c r="BF436" s="24">
        <v>51</v>
      </c>
      <c r="BG436" s="23">
        <v>43</v>
      </c>
      <c r="BH436" s="24">
        <v>319</v>
      </c>
      <c r="BI436" s="23">
        <v>108</v>
      </c>
      <c r="BJ436" s="24">
        <v>319</v>
      </c>
      <c r="BK436" s="23">
        <v>108</v>
      </c>
      <c r="BL436" s="24">
        <v>0</v>
      </c>
      <c r="BM436" s="20">
        <v>12</v>
      </c>
      <c r="BN436" s="19">
        <v>889</v>
      </c>
      <c r="BO436" s="23">
        <v>300</v>
      </c>
      <c r="BP436" s="24">
        <v>90</v>
      </c>
      <c r="BQ436" s="23">
        <v>74</v>
      </c>
      <c r="BR436" s="24">
        <v>90</v>
      </c>
      <c r="BS436" s="23">
        <v>74</v>
      </c>
      <c r="BT436" s="26">
        <v>0</v>
      </c>
      <c r="BU436" s="23">
        <v>12</v>
      </c>
      <c r="BV436" s="24">
        <v>702</v>
      </c>
      <c r="BW436" s="23">
        <v>257</v>
      </c>
      <c r="BX436" s="24">
        <v>681</v>
      </c>
      <c r="BY436" s="23">
        <v>253</v>
      </c>
      <c r="BZ436" s="24">
        <v>21</v>
      </c>
      <c r="CA436" s="23">
        <v>24</v>
      </c>
      <c r="CB436" s="24">
        <v>97</v>
      </c>
      <c r="CC436" s="23">
        <v>55</v>
      </c>
      <c r="CD436" s="24">
        <v>97</v>
      </c>
      <c r="CE436" s="23">
        <v>55</v>
      </c>
      <c r="CF436" s="24">
        <v>0</v>
      </c>
      <c r="CG436" s="20">
        <v>12</v>
      </c>
    </row>
    <row r="437" spans="1:85" x14ac:dyDescent="0.3">
      <c r="A437" t="s">
        <v>873</v>
      </c>
      <c r="B437">
        <v>21850</v>
      </c>
      <c r="C437" t="s">
        <v>874</v>
      </c>
      <c r="D437" s="19">
        <v>2576</v>
      </c>
      <c r="E437" s="20">
        <v>413</v>
      </c>
      <c r="F437" s="19">
        <v>483</v>
      </c>
      <c r="G437" s="23">
        <v>239</v>
      </c>
      <c r="H437" s="24">
        <v>185</v>
      </c>
      <c r="I437" s="23">
        <v>138</v>
      </c>
      <c r="J437" s="24">
        <v>173</v>
      </c>
      <c r="K437" s="23">
        <v>135</v>
      </c>
      <c r="L437" s="24">
        <v>12</v>
      </c>
      <c r="M437" s="23">
        <v>31</v>
      </c>
      <c r="N437" s="24">
        <v>243</v>
      </c>
      <c r="O437" s="23">
        <v>116</v>
      </c>
      <c r="P437" s="24">
        <v>219</v>
      </c>
      <c r="Q437" s="23">
        <v>113</v>
      </c>
      <c r="R437" s="24">
        <v>24</v>
      </c>
      <c r="S437" s="23">
        <v>30</v>
      </c>
      <c r="T437" s="24">
        <v>55</v>
      </c>
      <c r="U437" s="23">
        <v>41</v>
      </c>
      <c r="V437" s="24">
        <v>55</v>
      </c>
      <c r="W437" s="23">
        <v>41</v>
      </c>
      <c r="X437" s="24">
        <v>0</v>
      </c>
      <c r="Y437" s="20">
        <v>24</v>
      </c>
      <c r="Z437" s="19">
        <v>157</v>
      </c>
      <c r="AA437" s="23">
        <v>76</v>
      </c>
      <c r="AB437" s="24">
        <v>34</v>
      </c>
      <c r="AC437" s="23">
        <v>31</v>
      </c>
      <c r="AD437" s="24">
        <v>26</v>
      </c>
      <c r="AE437" s="23">
        <v>24</v>
      </c>
      <c r="AF437" s="24">
        <v>8</v>
      </c>
      <c r="AG437" s="23">
        <v>13</v>
      </c>
      <c r="AH437" s="24">
        <v>89</v>
      </c>
      <c r="AI437" s="23">
        <v>45</v>
      </c>
      <c r="AJ437" s="24">
        <v>82</v>
      </c>
      <c r="AK437" s="23">
        <v>42</v>
      </c>
      <c r="AL437" s="24">
        <v>7</v>
      </c>
      <c r="AM437" s="23">
        <v>9</v>
      </c>
      <c r="AN437" s="24">
        <v>34</v>
      </c>
      <c r="AO437" s="23">
        <v>29</v>
      </c>
      <c r="AP437" s="24">
        <v>34</v>
      </c>
      <c r="AQ437" s="23">
        <v>29</v>
      </c>
      <c r="AR437" s="24">
        <v>0</v>
      </c>
      <c r="AS437" s="20">
        <v>12</v>
      </c>
      <c r="AT437" s="19">
        <v>1106</v>
      </c>
      <c r="AU437" s="23">
        <v>327</v>
      </c>
      <c r="AV437" s="24">
        <v>351</v>
      </c>
      <c r="AW437" s="23">
        <v>174</v>
      </c>
      <c r="AX437" s="24">
        <v>351</v>
      </c>
      <c r="AY437" s="23">
        <v>174</v>
      </c>
      <c r="AZ437" s="24">
        <v>0</v>
      </c>
      <c r="BA437" s="23">
        <v>12</v>
      </c>
      <c r="BB437" s="24">
        <v>606</v>
      </c>
      <c r="BC437" s="23">
        <v>186</v>
      </c>
      <c r="BD437" s="24">
        <v>541</v>
      </c>
      <c r="BE437" s="23">
        <v>172</v>
      </c>
      <c r="BF437" s="24">
        <v>65</v>
      </c>
      <c r="BG437" s="23">
        <v>43</v>
      </c>
      <c r="BH437" s="24">
        <v>149</v>
      </c>
      <c r="BI437" s="23">
        <v>69</v>
      </c>
      <c r="BJ437" s="24">
        <v>149</v>
      </c>
      <c r="BK437" s="23">
        <v>69</v>
      </c>
      <c r="BL437" s="24">
        <v>0</v>
      </c>
      <c r="BM437" s="20">
        <v>12</v>
      </c>
      <c r="BN437" s="19">
        <v>830</v>
      </c>
      <c r="BO437" s="23">
        <v>242</v>
      </c>
      <c r="BP437" s="24">
        <v>98</v>
      </c>
      <c r="BQ437" s="23">
        <v>68</v>
      </c>
      <c r="BR437" s="24">
        <v>95</v>
      </c>
      <c r="BS437" s="23">
        <v>67</v>
      </c>
      <c r="BT437" s="26">
        <v>3</v>
      </c>
      <c r="BU437" s="23">
        <v>5</v>
      </c>
      <c r="BV437" s="24">
        <v>639</v>
      </c>
      <c r="BW437" s="23">
        <v>182</v>
      </c>
      <c r="BX437" s="24">
        <v>597</v>
      </c>
      <c r="BY437" s="23">
        <v>179</v>
      </c>
      <c r="BZ437" s="24">
        <v>42</v>
      </c>
      <c r="CA437" s="23">
        <v>23</v>
      </c>
      <c r="CB437" s="24">
        <v>93</v>
      </c>
      <c r="CC437" s="23">
        <v>45</v>
      </c>
      <c r="CD437" s="24">
        <v>93</v>
      </c>
      <c r="CE437" s="23">
        <v>45</v>
      </c>
      <c r="CF437" s="24">
        <v>0</v>
      </c>
      <c r="CG437" s="20">
        <v>12</v>
      </c>
    </row>
    <row r="438" spans="1:85" x14ac:dyDescent="0.3">
      <c r="A438" t="s">
        <v>875</v>
      </c>
      <c r="B438">
        <v>21851</v>
      </c>
      <c r="C438" t="s">
        <v>876</v>
      </c>
      <c r="D438" s="19">
        <v>6970</v>
      </c>
      <c r="E438" s="20">
        <v>329</v>
      </c>
      <c r="F438" s="19">
        <v>1989</v>
      </c>
      <c r="G438" s="23">
        <v>479</v>
      </c>
      <c r="H438" s="24">
        <v>792</v>
      </c>
      <c r="I438" s="23">
        <v>277</v>
      </c>
      <c r="J438" s="24">
        <v>792</v>
      </c>
      <c r="K438" s="23">
        <v>277</v>
      </c>
      <c r="L438" s="24">
        <v>0</v>
      </c>
      <c r="M438" s="23">
        <v>34</v>
      </c>
      <c r="N438" s="24">
        <v>921</v>
      </c>
      <c r="O438" s="23">
        <v>274</v>
      </c>
      <c r="P438" s="24">
        <v>683</v>
      </c>
      <c r="Q438" s="23">
        <v>203</v>
      </c>
      <c r="R438" s="24">
        <v>238</v>
      </c>
      <c r="S438" s="23">
        <v>193</v>
      </c>
      <c r="T438" s="24">
        <v>276</v>
      </c>
      <c r="U438" s="23">
        <v>132</v>
      </c>
      <c r="V438" s="24">
        <v>276</v>
      </c>
      <c r="W438" s="23">
        <v>132</v>
      </c>
      <c r="X438" s="24">
        <v>0</v>
      </c>
      <c r="Y438" s="20">
        <v>34</v>
      </c>
      <c r="Z438" s="19">
        <v>1278</v>
      </c>
      <c r="AA438" s="23">
        <v>310</v>
      </c>
      <c r="AB438" s="24">
        <v>447</v>
      </c>
      <c r="AC438" s="23">
        <v>174</v>
      </c>
      <c r="AD438" s="24">
        <v>331</v>
      </c>
      <c r="AE438" s="23">
        <v>142</v>
      </c>
      <c r="AF438" s="24">
        <v>116</v>
      </c>
      <c r="AG438" s="23">
        <v>125</v>
      </c>
      <c r="AH438" s="24">
        <v>577</v>
      </c>
      <c r="AI438" s="23">
        <v>171</v>
      </c>
      <c r="AJ438" s="24">
        <v>542</v>
      </c>
      <c r="AK438" s="23">
        <v>177</v>
      </c>
      <c r="AL438" s="24">
        <v>35</v>
      </c>
      <c r="AM438" s="23">
        <v>35</v>
      </c>
      <c r="AN438" s="24">
        <v>254</v>
      </c>
      <c r="AO438" s="23">
        <v>102</v>
      </c>
      <c r="AP438" s="24">
        <v>254</v>
      </c>
      <c r="AQ438" s="23">
        <v>102</v>
      </c>
      <c r="AR438" s="24">
        <v>0</v>
      </c>
      <c r="AS438" s="20">
        <v>17</v>
      </c>
      <c r="AT438" s="19">
        <v>1536</v>
      </c>
      <c r="AU438" s="23">
        <v>345</v>
      </c>
      <c r="AV438" s="24">
        <v>174</v>
      </c>
      <c r="AW438" s="23">
        <v>99</v>
      </c>
      <c r="AX438" s="24">
        <v>167</v>
      </c>
      <c r="AY438" s="23">
        <v>100</v>
      </c>
      <c r="AZ438" s="24">
        <v>7</v>
      </c>
      <c r="BA438" s="23">
        <v>11</v>
      </c>
      <c r="BB438" s="24">
        <v>873</v>
      </c>
      <c r="BC438" s="23">
        <v>237</v>
      </c>
      <c r="BD438" s="24">
        <v>835</v>
      </c>
      <c r="BE438" s="23">
        <v>232</v>
      </c>
      <c r="BF438" s="24">
        <v>38</v>
      </c>
      <c r="BG438" s="23">
        <v>40</v>
      </c>
      <c r="BH438" s="24">
        <v>489</v>
      </c>
      <c r="BI438" s="23">
        <v>115</v>
      </c>
      <c r="BJ438" s="24">
        <v>489</v>
      </c>
      <c r="BK438" s="23">
        <v>115</v>
      </c>
      <c r="BL438" s="24">
        <v>0</v>
      </c>
      <c r="BM438" s="20">
        <v>17</v>
      </c>
      <c r="BN438" s="19">
        <v>2167</v>
      </c>
      <c r="BO438" s="23">
        <v>339</v>
      </c>
      <c r="BP438" s="24">
        <v>363</v>
      </c>
      <c r="BQ438" s="23">
        <v>131</v>
      </c>
      <c r="BR438" s="24">
        <v>348</v>
      </c>
      <c r="BS438" s="23">
        <v>126</v>
      </c>
      <c r="BT438" s="26">
        <v>15</v>
      </c>
      <c r="BU438" s="23">
        <v>23</v>
      </c>
      <c r="BV438" s="24">
        <v>1454</v>
      </c>
      <c r="BW438" s="23">
        <v>243</v>
      </c>
      <c r="BX438" s="24">
        <v>1291</v>
      </c>
      <c r="BY438" s="23">
        <v>243</v>
      </c>
      <c r="BZ438" s="24">
        <v>163</v>
      </c>
      <c r="CA438" s="23">
        <v>123</v>
      </c>
      <c r="CB438" s="24">
        <v>350</v>
      </c>
      <c r="CC438" s="23">
        <v>103</v>
      </c>
      <c r="CD438" s="24">
        <v>350</v>
      </c>
      <c r="CE438" s="23">
        <v>103</v>
      </c>
      <c r="CF438" s="24">
        <v>0</v>
      </c>
      <c r="CG438" s="20">
        <v>17</v>
      </c>
    </row>
    <row r="439" spans="1:85" x14ac:dyDescent="0.3">
      <c r="A439" t="s">
        <v>877</v>
      </c>
      <c r="B439">
        <v>21853</v>
      </c>
      <c r="C439" t="s">
        <v>878</v>
      </c>
      <c r="D439" s="19">
        <v>8657</v>
      </c>
      <c r="E439" s="20">
        <v>614</v>
      </c>
      <c r="F439" s="19">
        <v>3291</v>
      </c>
      <c r="G439" s="23">
        <v>1009</v>
      </c>
      <c r="H439" s="24">
        <v>994</v>
      </c>
      <c r="I439" s="23">
        <v>544</v>
      </c>
      <c r="J439" s="24">
        <v>994</v>
      </c>
      <c r="K439" s="23">
        <v>544</v>
      </c>
      <c r="L439" s="24">
        <v>0</v>
      </c>
      <c r="M439" s="23">
        <v>38</v>
      </c>
      <c r="N439" s="24">
        <v>2082</v>
      </c>
      <c r="O439" s="23">
        <v>637</v>
      </c>
      <c r="P439" s="24">
        <v>1956</v>
      </c>
      <c r="Q439" s="23">
        <v>622</v>
      </c>
      <c r="R439" s="24">
        <v>126</v>
      </c>
      <c r="S439" s="23">
        <v>99</v>
      </c>
      <c r="T439" s="24">
        <v>215</v>
      </c>
      <c r="U439" s="23">
        <v>135</v>
      </c>
      <c r="V439" s="24">
        <v>215</v>
      </c>
      <c r="W439" s="23">
        <v>135</v>
      </c>
      <c r="X439" s="24">
        <v>0</v>
      </c>
      <c r="Y439" s="20">
        <v>38</v>
      </c>
      <c r="Z439" s="19">
        <v>878</v>
      </c>
      <c r="AA439" s="23">
        <v>294</v>
      </c>
      <c r="AB439" s="24">
        <v>196</v>
      </c>
      <c r="AC439" s="23">
        <v>104</v>
      </c>
      <c r="AD439" s="24">
        <v>192</v>
      </c>
      <c r="AE439" s="23">
        <v>103</v>
      </c>
      <c r="AF439" s="24">
        <v>4</v>
      </c>
      <c r="AG439" s="23">
        <v>14</v>
      </c>
      <c r="AH439" s="24">
        <v>561</v>
      </c>
      <c r="AI439" s="23">
        <v>202</v>
      </c>
      <c r="AJ439" s="24">
        <v>428</v>
      </c>
      <c r="AK439" s="23">
        <v>160</v>
      </c>
      <c r="AL439" s="24">
        <v>133</v>
      </c>
      <c r="AM439" s="23">
        <v>106</v>
      </c>
      <c r="AN439" s="24">
        <v>121</v>
      </c>
      <c r="AO439" s="23">
        <v>90</v>
      </c>
      <c r="AP439" s="24">
        <v>121</v>
      </c>
      <c r="AQ439" s="23">
        <v>90</v>
      </c>
      <c r="AR439" s="24">
        <v>0</v>
      </c>
      <c r="AS439" s="20">
        <v>19</v>
      </c>
      <c r="AT439" s="19">
        <v>2094</v>
      </c>
      <c r="AU439" s="23">
        <v>563</v>
      </c>
      <c r="AV439" s="24">
        <v>462</v>
      </c>
      <c r="AW439" s="23">
        <v>223</v>
      </c>
      <c r="AX439" s="24">
        <v>423</v>
      </c>
      <c r="AY439" s="23">
        <v>202</v>
      </c>
      <c r="AZ439" s="24">
        <v>39</v>
      </c>
      <c r="BA439" s="23">
        <v>50</v>
      </c>
      <c r="BB439" s="24">
        <v>1285</v>
      </c>
      <c r="BC439" s="23">
        <v>382</v>
      </c>
      <c r="BD439" s="24">
        <v>1035</v>
      </c>
      <c r="BE439" s="23">
        <v>294</v>
      </c>
      <c r="BF439" s="24">
        <v>250</v>
      </c>
      <c r="BG439" s="23">
        <v>180</v>
      </c>
      <c r="BH439" s="24">
        <v>347</v>
      </c>
      <c r="BI439" s="23">
        <v>121</v>
      </c>
      <c r="BJ439" s="24">
        <v>347</v>
      </c>
      <c r="BK439" s="23">
        <v>121</v>
      </c>
      <c r="BL439" s="24">
        <v>0</v>
      </c>
      <c r="BM439" s="20">
        <v>19</v>
      </c>
      <c r="BN439" s="19">
        <v>2394</v>
      </c>
      <c r="BO439" s="23">
        <v>423</v>
      </c>
      <c r="BP439" s="24">
        <v>199</v>
      </c>
      <c r="BQ439" s="23">
        <v>104</v>
      </c>
      <c r="BR439" s="24">
        <v>192</v>
      </c>
      <c r="BS439" s="23">
        <v>103</v>
      </c>
      <c r="BT439" s="26">
        <v>7</v>
      </c>
      <c r="BU439" s="23">
        <v>12</v>
      </c>
      <c r="BV439" s="24">
        <v>1844</v>
      </c>
      <c r="BW439" s="23">
        <v>353</v>
      </c>
      <c r="BX439" s="24">
        <v>1729</v>
      </c>
      <c r="BY439" s="23">
        <v>355</v>
      </c>
      <c r="BZ439" s="24">
        <v>115</v>
      </c>
      <c r="CA439" s="23">
        <v>92</v>
      </c>
      <c r="CB439" s="24">
        <v>351</v>
      </c>
      <c r="CC439" s="23">
        <v>91</v>
      </c>
      <c r="CD439" s="24">
        <v>351</v>
      </c>
      <c r="CE439" s="23">
        <v>91</v>
      </c>
      <c r="CF439" s="24">
        <v>0</v>
      </c>
      <c r="CG439" s="20">
        <v>19</v>
      </c>
    </row>
    <row r="440" spans="1:85" x14ac:dyDescent="0.3">
      <c r="A440" t="s">
        <v>879</v>
      </c>
      <c r="B440">
        <v>21856</v>
      </c>
      <c r="C440" t="s">
        <v>880</v>
      </c>
      <c r="D440" s="19">
        <v>612</v>
      </c>
      <c r="E440" s="20">
        <v>309</v>
      </c>
      <c r="F440" s="19">
        <v>38</v>
      </c>
      <c r="G440" s="23">
        <v>63</v>
      </c>
      <c r="H440" s="24">
        <v>0</v>
      </c>
      <c r="I440" s="23">
        <v>24</v>
      </c>
      <c r="J440" s="24">
        <v>0</v>
      </c>
      <c r="K440" s="23">
        <v>24</v>
      </c>
      <c r="L440" s="24">
        <v>0</v>
      </c>
      <c r="M440" s="23">
        <v>24</v>
      </c>
      <c r="N440" s="24">
        <v>14</v>
      </c>
      <c r="O440" s="23">
        <v>36</v>
      </c>
      <c r="P440" s="24">
        <v>0</v>
      </c>
      <c r="Q440" s="23">
        <v>24</v>
      </c>
      <c r="R440" s="24">
        <v>14</v>
      </c>
      <c r="S440" s="23">
        <v>36</v>
      </c>
      <c r="T440" s="24">
        <v>24</v>
      </c>
      <c r="U440" s="23">
        <v>40</v>
      </c>
      <c r="V440" s="24">
        <v>24</v>
      </c>
      <c r="W440" s="23">
        <v>40</v>
      </c>
      <c r="X440" s="24">
        <v>0</v>
      </c>
      <c r="Y440" s="20">
        <v>24</v>
      </c>
      <c r="Z440" s="19">
        <v>86</v>
      </c>
      <c r="AA440" s="23">
        <v>112</v>
      </c>
      <c r="AB440" s="24">
        <v>47</v>
      </c>
      <c r="AC440" s="23">
        <v>74</v>
      </c>
      <c r="AD440" s="24">
        <v>47</v>
      </c>
      <c r="AE440" s="23">
        <v>74</v>
      </c>
      <c r="AF440" s="24">
        <v>0</v>
      </c>
      <c r="AG440" s="23">
        <v>12</v>
      </c>
      <c r="AH440" s="24">
        <v>39</v>
      </c>
      <c r="AI440" s="23">
        <v>45</v>
      </c>
      <c r="AJ440" s="24">
        <v>39</v>
      </c>
      <c r="AK440" s="23">
        <v>45</v>
      </c>
      <c r="AL440" s="24">
        <v>0</v>
      </c>
      <c r="AM440" s="23">
        <v>12</v>
      </c>
      <c r="AN440" s="24">
        <v>0</v>
      </c>
      <c r="AO440" s="23">
        <v>12</v>
      </c>
      <c r="AP440" s="24">
        <v>0</v>
      </c>
      <c r="AQ440" s="23">
        <v>12</v>
      </c>
      <c r="AR440" s="24">
        <v>0</v>
      </c>
      <c r="AS440" s="20">
        <v>12</v>
      </c>
      <c r="AT440" s="19">
        <v>224</v>
      </c>
      <c r="AU440" s="23">
        <v>160</v>
      </c>
      <c r="AV440" s="24">
        <v>32</v>
      </c>
      <c r="AW440" s="23">
        <v>53</v>
      </c>
      <c r="AX440" s="24">
        <v>32</v>
      </c>
      <c r="AY440" s="23">
        <v>53</v>
      </c>
      <c r="AZ440" s="24">
        <v>0</v>
      </c>
      <c r="BA440" s="23">
        <v>12</v>
      </c>
      <c r="BB440" s="24">
        <v>122</v>
      </c>
      <c r="BC440" s="23">
        <v>108</v>
      </c>
      <c r="BD440" s="24">
        <v>107</v>
      </c>
      <c r="BE440" s="23">
        <v>102</v>
      </c>
      <c r="BF440" s="24">
        <v>15</v>
      </c>
      <c r="BG440" s="23">
        <v>26</v>
      </c>
      <c r="BH440" s="24">
        <v>70</v>
      </c>
      <c r="BI440" s="23">
        <v>47</v>
      </c>
      <c r="BJ440" s="24">
        <v>70</v>
      </c>
      <c r="BK440" s="23">
        <v>47</v>
      </c>
      <c r="BL440" s="24">
        <v>0</v>
      </c>
      <c r="BM440" s="20">
        <v>12</v>
      </c>
      <c r="BN440" s="19">
        <v>264</v>
      </c>
      <c r="BO440" s="23">
        <v>268</v>
      </c>
      <c r="BP440" s="24">
        <v>79</v>
      </c>
      <c r="BQ440" s="23">
        <v>98</v>
      </c>
      <c r="BR440" s="24">
        <v>79</v>
      </c>
      <c r="BS440" s="23">
        <v>98</v>
      </c>
      <c r="BT440" s="26">
        <v>0</v>
      </c>
      <c r="BU440" s="23">
        <v>12</v>
      </c>
      <c r="BV440" s="24">
        <v>129</v>
      </c>
      <c r="BW440" s="23">
        <v>171</v>
      </c>
      <c r="BX440" s="24">
        <v>129</v>
      </c>
      <c r="BY440" s="23">
        <v>171</v>
      </c>
      <c r="BZ440" s="24">
        <v>0</v>
      </c>
      <c r="CA440" s="23">
        <v>12</v>
      </c>
      <c r="CB440" s="24">
        <v>56</v>
      </c>
      <c r="CC440" s="23">
        <v>70</v>
      </c>
      <c r="CD440" s="24">
        <v>56</v>
      </c>
      <c r="CE440" s="23">
        <v>70</v>
      </c>
      <c r="CF440" s="24">
        <v>0</v>
      </c>
      <c r="CG440" s="20">
        <v>12</v>
      </c>
    </row>
    <row r="441" spans="1:85" x14ac:dyDescent="0.3">
      <c r="A441" t="s">
        <v>881</v>
      </c>
      <c r="B441">
        <v>21861</v>
      </c>
      <c r="C441" t="s">
        <v>882</v>
      </c>
      <c r="D441" s="19">
        <v>838</v>
      </c>
      <c r="E441" s="20">
        <v>213</v>
      </c>
      <c r="F441" s="19">
        <v>135</v>
      </c>
      <c r="G441" s="23">
        <v>110</v>
      </c>
      <c r="H441" s="24">
        <v>52</v>
      </c>
      <c r="I441" s="23">
        <v>63</v>
      </c>
      <c r="J441" s="24">
        <v>52</v>
      </c>
      <c r="K441" s="23">
        <v>63</v>
      </c>
      <c r="L441" s="24">
        <v>0</v>
      </c>
      <c r="M441" s="23">
        <v>24</v>
      </c>
      <c r="N441" s="24">
        <v>73</v>
      </c>
      <c r="O441" s="23">
        <v>60</v>
      </c>
      <c r="P441" s="24">
        <v>58</v>
      </c>
      <c r="Q441" s="23">
        <v>50</v>
      </c>
      <c r="R441" s="24">
        <v>15</v>
      </c>
      <c r="S441" s="23">
        <v>36</v>
      </c>
      <c r="T441" s="24">
        <v>10</v>
      </c>
      <c r="U441" s="23">
        <v>12</v>
      </c>
      <c r="V441" s="24">
        <v>10</v>
      </c>
      <c r="W441" s="23">
        <v>12</v>
      </c>
      <c r="X441" s="24">
        <v>0</v>
      </c>
      <c r="Y441" s="20">
        <v>24</v>
      </c>
      <c r="Z441" s="19">
        <v>144</v>
      </c>
      <c r="AA441" s="23">
        <v>122</v>
      </c>
      <c r="AB441" s="24">
        <v>67</v>
      </c>
      <c r="AC441" s="23">
        <v>63</v>
      </c>
      <c r="AD441" s="24">
        <v>67</v>
      </c>
      <c r="AE441" s="23">
        <v>63</v>
      </c>
      <c r="AF441" s="24">
        <v>0</v>
      </c>
      <c r="AG441" s="23">
        <v>12</v>
      </c>
      <c r="AH441" s="24">
        <v>57</v>
      </c>
      <c r="AI441" s="23">
        <v>51</v>
      </c>
      <c r="AJ441" s="24">
        <v>57</v>
      </c>
      <c r="AK441" s="23">
        <v>51</v>
      </c>
      <c r="AL441" s="24">
        <v>0</v>
      </c>
      <c r="AM441" s="23">
        <v>12</v>
      </c>
      <c r="AN441" s="24">
        <v>20</v>
      </c>
      <c r="AO441" s="23">
        <v>23</v>
      </c>
      <c r="AP441" s="24">
        <v>20</v>
      </c>
      <c r="AQ441" s="23">
        <v>23</v>
      </c>
      <c r="AR441" s="24">
        <v>0</v>
      </c>
      <c r="AS441" s="20">
        <v>12</v>
      </c>
      <c r="AT441" s="19">
        <v>297</v>
      </c>
      <c r="AU441" s="23">
        <v>95</v>
      </c>
      <c r="AV441" s="24">
        <v>52</v>
      </c>
      <c r="AW441" s="23">
        <v>30</v>
      </c>
      <c r="AX441" s="24">
        <v>52</v>
      </c>
      <c r="AY441" s="23">
        <v>30</v>
      </c>
      <c r="AZ441" s="24">
        <v>0</v>
      </c>
      <c r="BA441" s="23">
        <v>12</v>
      </c>
      <c r="BB441" s="24">
        <v>169</v>
      </c>
      <c r="BC441" s="23">
        <v>62</v>
      </c>
      <c r="BD441" s="24">
        <v>134</v>
      </c>
      <c r="BE441" s="23">
        <v>49</v>
      </c>
      <c r="BF441" s="24">
        <v>35</v>
      </c>
      <c r="BG441" s="23">
        <v>27</v>
      </c>
      <c r="BH441" s="24">
        <v>76</v>
      </c>
      <c r="BI441" s="23">
        <v>38</v>
      </c>
      <c r="BJ441" s="24">
        <v>76</v>
      </c>
      <c r="BK441" s="23">
        <v>38</v>
      </c>
      <c r="BL441" s="24">
        <v>0</v>
      </c>
      <c r="BM441" s="20">
        <v>12</v>
      </c>
      <c r="BN441" s="19">
        <v>262</v>
      </c>
      <c r="BO441" s="23">
        <v>95</v>
      </c>
      <c r="BP441" s="24">
        <v>51</v>
      </c>
      <c r="BQ441" s="23">
        <v>41</v>
      </c>
      <c r="BR441" s="24">
        <v>51</v>
      </c>
      <c r="BS441" s="23">
        <v>41</v>
      </c>
      <c r="BT441" s="26">
        <v>0</v>
      </c>
      <c r="BU441" s="23">
        <v>12</v>
      </c>
      <c r="BV441" s="24">
        <v>174</v>
      </c>
      <c r="BW441" s="23">
        <v>71</v>
      </c>
      <c r="BX441" s="24">
        <v>172</v>
      </c>
      <c r="BY441" s="23">
        <v>71</v>
      </c>
      <c r="BZ441" s="24">
        <v>2</v>
      </c>
      <c r="CA441" s="23">
        <v>3</v>
      </c>
      <c r="CB441" s="24">
        <v>37</v>
      </c>
      <c r="CC441" s="23">
        <v>34</v>
      </c>
      <c r="CD441" s="24">
        <v>37</v>
      </c>
      <c r="CE441" s="23">
        <v>34</v>
      </c>
      <c r="CF441" s="24">
        <v>0</v>
      </c>
      <c r="CG441" s="20">
        <v>12</v>
      </c>
    </row>
    <row r="442" spans="1:85" x14ac:dyDescent="0.3">
      <c r="A442" t="s">
        <v>883</v>
      </c>
      <c r="B442">
        <v>21862</v>
      </c>
      <c r="C442" t="s">
        <v>884</v>
      </c>
      <c r="D442" s="19">
        <v>150</v>
      </c>
      <c r="E442" s="20">
        <v>226</v>
      </c>
      <c r="F442" s="19">
        <v>58</v>
      </c>
      <c r="G442" s="23">
        <v>97</v>
      </c>
      <c r="H442" s="24">
        <v>0</v>
      </c>
      <c r="I442" s="23">
        <v>24</v>
      </c>
      <c r="J442" s="24">
        <v>0</v>
      </c>
      <c r="K442" s="23">
        <v>24</v>
      </c>
      <c r="L442" s="24">
        <v>0</v>
      </c>
      <c r="M442" s="23">
        <v>24</v>
      </c>
      <c r="N442" s="24">
        <v>58</v>
      </c>
      <c r="O442" s="23">
        <v>97</v>
      </c>
      <c r="P442" s="24">
        <v>0</v>
      </c>
      <c r="Q442" s="23">
        <v>24</v>
      </c>
      <c r="R442" s="24">
        <v>58</v>
      </c>
      <c r="S442" s="23">
        <v>97</v>
      </c>
      <c r="T442" s="24">
        <v>0</v>
      </c>
      <c r="U442" s="23">
        <v>24</v>
      </c>
      <c r="V442" s="24">
        <v>0</v>
      </c>
      <c r="W442" s="23">
        <v>24</v>
      </c>
      <c r="X442" s="24">
        <v>0</v>
      </c>
      <c r="Y442" s="20">
        <v>24</v>
      </c>
      <c r="Z442" s="19">
        <v>46</v>
      </c>
      <c r="AA442" s="23">
        <v>72</v>
      </c>
      <c r="AB442" s="24">
        <v>0</v>
      </c>
      <c r="AC442" s="23">
        <v>12</v>
      </c>
      <c r="AD442" s="24">
        <v>0</v>
      </c>
      <c r="AE442" s="23">
        <v>12</v>
      </c>
      <c r="AF442" s="24">
        <v>0</v>
      </c>
      <c r="AG442" s="23">
        <v>12</v>
      </c>
      <c r="AH442" s="24">
        <v>46</v>
      </c>
      <c r="AI442" s="23">
        <v>72</v>
      </c>
      <c r="AJ442" s="24">
        <v>46</v>
      </c>
      <c r="AK442" s="23">
        <v>72</v>
      </c>
      <c r="AL442" s="24">
        <v>0</v>
      </c>
      <c r="AM442" s="23">
        <v>12</v>
      </c>
      <c r="AN442" s="24">
        <v>0</v>
      </c>
      <c r="AO442" s="23">
        <v>12</v>
      </c>
      <c r="AP442" s="24">
        <v>0</v>
      </c>
      <c r="AQ442" s="23">
        <v>12</v>
      </c>
      <c r="AR442" s="24">
        <v>0</v>
      </c>
      <c r="AS442" s="20">
        <v>12</v>
      </c>
      <c r="AT442" s="19">
        <v>46</v>
      </c>
      <c r="AU442" s="23">
        <v>70</v>
      </c>
      <c r="AV442" s="24">
        <v>0</v>
      </c>
      <c r="AW442" s="23">
        <v>12</v>
      </c>
      <c r="AX442" s="24">
        <v>0</v>
      </c>
      <c r="AY442" s="23">
        <v>12</v>
      </c>
      <c r="AZ442" s="24">
        <v>0</v>
      </c>
      <c r="BA442" s="23">
        <v>12</v>
      </c>
      <c r="BB442" s="24">
        <v>46</v>
      </c>
      <c r="BC442" s="23">
        <v>70</v>
      </c>
      <c r="BD442" s="24">
        <v>46</v>
      </c>
      <c r="BE442" s="23">
        <v>70</v>
      </c>
      <c r="BF442" s="24">
        <v>0</v>
      </c>
      <c r="BG442" s="23">
        <v>12</v>
      </c>
      <c r="BH442" s="24">
        <v>0</v>
      </c>
      <c r="BI442" s="23">
        <v>12</v>
      </c>
      <c r="BJ442" s="24">
        <v>0</v>
      </c>
      <c r="BK442" s="23">
        <v>12</v>
      </c>
      <c r="BL442" s="24">
        <v>0</v>
      </c>
      <c r="BM442" s="20">
        <v>12</v>
      </c>
      <c r="BN442" s="19">
        <v>0</v>
      </c>
      <c r="BO442" s="23">
        <v>12</v>
      </c>
      <c r="BP442" s="24">
        <v>0</v>
      </c>
      <c r="BQ442" s="23">
        <v>12</v>
      </c>
      <c r="BR442" s="24">
        <v>0</v>
      </c>
      <c r="BS442" s="23">
        <v>12</v>
      </c>
      <c r="BT442" s="26">
        <v>0</v>
      </c>
      <c r="BU442" s="23">
        <v>12</v>
      </c>
      <c r="BV442" s="24">
        <v>0</v>
      </c>
      <c r="BW442" s="23">
        <v>12</v>
      </c>
      <c r="BX442" s="24">
        <v>0</v>
      </c>
      <c r="BY442" s="23">
        <v>12</v>
      </c>
      <c r="BZ442" s="24">
        <v>0</v>
      </c>
      <c r="CA442" s="23">
        <v>12</v>
      </c>
      <c r="CB442" s="24">
        <v>0</v>
      </c>
      <c r="CC442" s="23">
        <v>12</v>
      </c>
      <c r="CD442" s="24">
        <v>0</v>
      </c>
      <c r="CE442" s="23">
        <v>12</v>
      </c>
      <c r="CF442" s="24">
        <v>0</v>
      </c>
      <c r="CG442" s="20">
        <v>12</v>
      </c>
    </row>
    <row r="443" spans="1:85" x14ac:dyDescent="0.3">
      <c r="A443" t="s">
        <v>885</v>
      </c>
      <c r="B443">
        <v>21863</v>
      </c>
      <c r="C443" t="s">
        <v>886</v>
      </c>
      <c r="D443" s="19">
        <v>4499</v>
      </c>
      <c r="E443" s="20">
        <v>399</v>
      </c>
      <c r="F443" s="19">
        <v>844</v>
      </c>
      <c r="G443" s="23">
        <v>309</v>
      </c>
      <c r="H443" s="24">
        <v>311</v>
      </c>
      <c r="I443" s="23">
        <v>155</v>
      </c>
      <c r="J443" s="24">
        <v>311</v>
      </c>
      <c r="K443" s="23">
        <v>155</v>
      </c>
      <c r="L443" s="24">
        <v>0</v>
      </c>
      <c r="M443" s="23">
        <v>24</v>
      </c>
      <c r="N443" s="24">
        <v>410</v>
      </c>
      <c r="O443" s="23">
        <v>173</v>
      </c>
      <c r="P443" s="24">
        <v>375</v>
      </c>
      <c r="Q443" s="23">
        <v>168</v>
      </c>
      <c r="R443" s="24">
        <v>35</v>
      </c>
      <c r="S443" s="23">
        <v>41</v>
      </c>
      <c r="T443" s="24">
        <v>123</v>
      </c>
      <c r="U443" s="23">
        <v>99</v>
      </c>
      <c r="V443" s="24">
        <v>123</v>
      </c>
      <c r="W443" s="23">
        <v>99</v>
      </c>
      <c r="X443" s="24">
        <v>0</v>
      </c>
      <c r="Y443" s="20">
        <v>24</v>
      </c>
      <c r="Z443" s="19">
        <v>804</v>
      </c>
      <c r="AA443" s="23">
        <v>314</v>
      </c>
      <c r="AB443" s="24">
        <v>284</v>
      </c>
      <c r="AC443" s="23">
        <v>164</v>
      </c>
      <c r="AD443" s="24">
        <v>252</v>
      </c>
      <c r="AE443" s="23">
        <v>159</v>
      </c>
      <c r="AF443" s="24">
        <v>32</v>
      </c>
      <c r="AG443" s="23">
        <v>35</v>
      </c>
      <c r="AH443" s="24">
        <v>424</v>
      </c>
      <c r="AI443" s="23">
        <v>178</v>
      </c>
      <c r="AJ443" s="24">
        <v>332</v>
      </c>
      <c r="AK443" s="23">
        <v>140</v>
      </c>
      <c r="AL443" s="24">
        <v>92</v>
      </c>
      <c r="AM443" s="23">
        <v>93</v>
      </c>
      <c r="AN443" s="24">
        <v>96</v>
      </c>
      <c r="AO443" s="23">
        <v>53</v>
      </c>
      <c r="AP443" s="24">
        <v>96</v>
      </c>
      <c r="AQ443" s="23">
        <v>53</v>
      </c>
      <c r="AR443" s="24">
        <v>0</v>
      </c>
      <c r="AS443" s="20">
        <v>12</v>
      </c>
      <c r="AT443" s="19">
        <v>1566</v>
      </c>
      <c r="AU443" s="23">
        <v>255</v>
      </c>
      <c r="AV443" s="24">
        <v>282</v>
      </c>
      <c r="AW443" s="23">
        <v>98</v>
      </c>
      <c r="AX443" s="24">
        <v>249</v>
      </c>
      <c r="AY443" s="23">
        <v>80</v>
      </c>
      <c r="AZ443" s="24">
        <v>33</v>
      </c>
      <c r="BA443" s="23">
        <v>47</v>
      </c>
      <c r="BB443" s="24">
        <v>840</v>
      </c>
      <c r="BC443" s="23">
        <v>180</v>
      </c>
      <c r="BD443" s="24">
        <v>750</v>
      </c>
      <c r="BE443" s="23">
        <v>175</v>
      </c>
      <c r="BF443" s="24">
        <v>90</v>
      </c>
      <c r="BG443" s="23">
        <v>61</v>
      </c>
      <c r="BH443" s="24">
        <v>444</v>
      </c>
      <c r="BI443" s="23">
        <v>100</v>
      </c>
      <c r="BJ443" s="24">
        <v>444</v>
      </c>
      <c r="BK443" s="23">
        <v>100</v>
      </c>
      <c r="BL443" s="24">
        <v>0</v>
      </c>
      <c r="BM443" s="20">
        <v>12</v>
      </c>
      <c r="BN443" s="19">
        <v>1285</v>
      </c>
      <c r="BO443" s="23">
        <v>295</v>
      </c>
      <c r="BP443" s="24">
        <v>170</v>
      </c>
      <c r="BQ443" s="23">
        <v>126</v>
      </c>
      <c r="BR443" s="24">
        <v>170</v>
      </c>
      <c r="BS443" s="23">
        <v>126</v>
      </c>
      <c r="BT443" s="26">
        <v>0</v>
      </c>
      <c r="BU443" s="23">
        <v>12</v>
      </c>
      <c r="BV443" s="24">
        <v>843</v>
      </c>
      <c r="BW443" s="23">
        <v>216</v>
      </c>
      <c r="BX443" s="24">
        <v>826</v>
      </c>
      <c r="BY443" s="23">
        <v>215</v>
      </c>
      <c r="BZ443" s="24">
        <v>17</v>
      </c>
      <c r="CA443" s="23">
        <v>28</v>
      </c>
      <c r="CB443" s="24">
        <v>272</v>
      </c>
      <c r="CC443" s="23">
        <v>90</v>
      </c>
      <c r="CD443" s="24">
        <v>272</v>
      </c>
      <c r="CE443" s="23">
        <v>90</v>
      </c>
      <c r="CF443" s="24">
        <v>0</v>
      </c>
      <c r="CG443" s="20">
        <v>12</v>
      </c>
    </row>
    <row r="444" spans="1:85" x14ac:dyDescent="0.3">
      <c r="A444" t="s">
        <v>887</v>
      </c>
      <c r="B444">
        <v>21864</v>
      </c>
      <c r="C444" t="s">
        <v>888</v>
      </c>
      <c r="D444" s="19">
        <v>903</v>
      </c>
      <c r="E444" s="20">
        <v>278</v>
      </c>
      <c r="F444" s="19">
        <v>306</v>
      </c>
      <c r="G444" s="23">
        <v>284</v>
      </c>
      <c r="H444" s="24">
        <v>106</v>
      </c>
      <c r="I444" s="23">
        <v>159</v>
      </c>
      <c r="J444" s="24">
        <v>106</v>
      </c>
      <c r="K444" s="23">
        <v>159</v>
      </c>
      <c r="L444" s="24">
        <v>0</v>
      </c>
      <c r="M444" s="23">
        <v>24</v>
      </c>
      <c r="N444" s="24">
        <v>192</v>
      </c>
      <c r="O444" s="23">
        <v>148</v>
      </c>
      <c r="P444" s="24">
        <v>142</v>
      </c>
      <c r="Q444" s="23">
        <v>102</v>
      </c>
      <c r="R444" s="24">
        <v>50</v>
      </c>
      <c r="S444" s="23">
        <v>58</v>
      </c>
      <c r="T444" s="24">
        <v>8</v>
      </c>
      <c r="U444" s="23">
        <v>25</v>
      </c>
      <c r="V444" s="24">
        <v>8</v>
      </c>
      <c r="W444" s="23">
        <v>25</v>
      </c>
      <c r="X444" s="24">
        <v>0</v>
      </c>
      <c r="Y444" s="20">
        <v>24</v>
      </c>
      <c r="Z444" s="19">
        <v>159</v>
      </c>
      <c r="AA444" s="23">
        <v>131</v>
      </c>
      <c r="AB444" s="24">
        <v>73</v>
      </c>
      <c r="AC444" s="23">
        <v>73</v>
      </c>
      <c r="AD444" s="24">
        <v>73</v>
      </c>
      <c r="AE444" s="23">
        <v>73</v>
      </c>
      <c r="AF444" s="24">
        <v>0</v>
      </c>
      <c r="AG444" s="23">
        <v>12</v>
      </c>
      <c r="AH444" s="24">
        <v>64</v>
      </c>
      <c r="AI444" s="23">
        <v>57</v>
      </c>
      <c r="AJ444" s="24">
        <v>64</v>
      </c>
      <c r="AK444" s="23">
        <v>57</v>
      </c>
      <c r="AL444" s="24">
        <v>0</v>
      </c>
      <c r="AM444" s="23">
        <v>12</v>
      </c>
      <c r="AN444" s="24">
        <v>22</v>
      </c>
      <c r="AO444" s="23">
        <v>34</v>
      </c>
      <c r="AP444" s="24">
        <v>22</v>
      </c>
      <c r="AQ444" s="23">
        <v>34</v>
      </c>
      <c r="AR444" s="24">
        <v>0</v>
      </c>
      <c r="AS444" s="20">
        <v>12</v>
      </c>
      <c r="AT444" s="19">
        <v>274</v>
      </c>
      <c r="AU444" s="23">
        <v>149</v>
      </c>
      <c r="AV444" s="24">
        <v>63</v>
      </c>
      <c r="AW444" s="23">
        <v>54</v>
      </c>
      <c r="AX444" s="24">
        <v>63</v>
      </c>
      <c r="AY444" s="23">
        <v>54</v>
      </c>
      <c r="AZ444" s="24">
        <v>0</v>
      </c>
      <c r="BA444" s="23">
        <v>12</v>
      </c>
      <c r="BB444" s="24">
        <v>196</v>
      </c>
      <c r="BC444" s="23">
        <v>105</v>
      </c>
      <c r="BD444" s="24">
        <v>196</v>
      </c>
      <c r="BE444" s="23">
        <v>105</v>
      </c>
      <c r="BF444" s="24">
        <v>0</v>
      </c>
      <c r="BG444" s="23">
        <v>12</v>
      </c>
      <c r="BH444" s="24">
        <v>15</v>
      </c>
      <c r="BI444" s="23">
        <v>21</v>
      </c>
      <c r="BJ444" s="24">
        <v>15</v>
      </c>
      <c r="BK444" s="23">
        <v>21</v>
      </c>
      <c r="BL444" s="24">
        <v>0</v>
      </c>
      <c r="BM444" s="20">
        <v>12</v>
      </c>
      <c r="BN444" s="19">
        <v>164</v>
      </c>
      <c r="BO444" s="23">
        <v>93</v>
      </c>
      <c r="BP444" s="24">
        <v>14</v>
      </c>
      <c r="BQ444" s="23">
        <v>21</v>
      </c>
      <c r="BR444" s="24">
        <v>14</v>
      </c>
      <c r="BS444" s="23">
        <v>21</v>
      </c>
      <c r="BT444" s="26">
        <v>0</v>
      </c>
      <c r="BU444" s="23">
        <v>12</v>
      </c>
      <c r="BV444" s="24">
        <v>106</v>
      </c>
      <c r="BW444" s="23">
        <v>67</v>
      </c>
      <c r="BX444" s="24">
        <v>106</v>
      </c>
      <c r="BY444" s="23">
        <v>67</v>
      </c>
      <c r="BZ444" s="24">
        <v>0</v>
      </c>
      <c r="CA444" s="23">
        <v>12</v>
      </c>
      <c r="CB444" s="24">
        <v>44</v>
      </c>
      <c r="CC444" s="23">
        <v>46</v>
      </c>
      <c r="CD444" s="24">
        <v>44</v>
      </c>
      <c r="CE444" s="23">
        <v>46</v>
      </c>
      <c r="CF444" s="24">
        <v>0</v>
      </c>
      <c r="CG444" s="20">
        <v>12</v>
      </c>
    </row>
    <row r="445" spans="1:85" x14ac:dyDescent="0.3">
      <c r="A445" t="s">
        <v>889</v>
      </c>
      <c r="B445">
        <v>21865</v>
      </c>
      <c r="C445" t="s">
        <v>890</v>
      </c>
      <c r="D445" s="19">
        <v>451</v>
      </c>
      <c r="E445" s="20">
        <v>262</v>
      </c>
      <c r="F445" s="19">
        <v>0</v>
      </c>
      <c r="G445" s="23">
        <v>24</v>
      </c>
      <c r="H445" s="24">
        <v>0</v>
      </c>
      <c r="I445" s="23">
        <v>24</v>
      </c>
      <c r="J445" s="24">
        <v>0</v>
      </c>
      <c r="K445" s="23">
        <v>24</v>
      </c>
      <c r="L445" s="24">
        <v>0</v>
      </c>
      <c r="M445" s="23">
        <v>24</v>
      </c>
      <c r="N445" s="24">
        <v>0</v>
      </c>
      <c r="O445" s="23">
        <v>24</v>
      </c>
      <c r="P445" s="24">
        <v>0</v>
      </c>
      <c r="Q445" s="23">
        <v>24</v>
      </c>
      <c r="R445" s="24">
        <v>0</v>
      </c>
      <c r="S445" s="23">
        <v>24</v>
      </c>
      <c r="T445" s="24">
        <v>0</v>
      </c>
      <c r="U445" s="23">
        <v>24</v>
      </c>
      <c r="V445" s="24">
        <v>0</v>
      </c>
      <c r="W445" s="23">
        <v>24</v>
      </c>
      <c r="X445" s="24">
        <v>0</v>
      </c>
      <c r="Y445" s="20">
        <v>24</v>
      </c>
      <c r="Z445" s="19">
        <v>17</v>
      </c>
      <c r="AA445" s="23">
        <v>28</v>
      </c>
      <c r="AB445" s="24">
        <v>0</v>
      </c>
      <c r="AC445" s="23">
        <v>12</v>
      </c>
      <c r="AD445" s="24">
        <v>0</v>
      </c>
      <c r="AE445" s="23">
        <v>12</v>
      </c>
      <c r="AF445" s="24">
        <v>0</v>
      </c>
      <c r="AG445" s="23">
        <v>12</v>
      </c>
      <c r="AH445" s="24">
        <v>17</v>
      </c>
      <c r="AI445" s="23">
        <v>28</v>
      </c>
      <c r="AJ445" s="24">
        <v>0</v>
      </c>
      <c r="AK445" s="23">
        <v>12</v>
      </c>
      <c r="AL445" s="24">
        <v>17</v>
      </c>
      <c r="AM445" s="23">
        <v>28</v>
      </c>
      <c r="AN445" s="24">
        <v>0</v>
      </c>
      <c r="AO445" s="23">
        <v>12</v>
      </c>
      <c r="AP445" s="24">
        <v>0</v>
      </c>
      <c r="AQ445" s="23">
        <v>12</v>
      </c>
      <c r="AR445" s="24">
        <v>0</v>
      </c>
      <c r="AS445" s="20">
        <v>12</v>
      </c>
      <c r="AT445" s="19">
        <v>90</v>
      </c>
      <c r="AU445" s="23">
        <v>107</v>
      </c>
      <c r="AV445" s="24">
        <v>31</v>
      </c>
      <c r="AW445" s="23">
        <v>52</v>
      </c>
      <c r="AX445" s="24">
        <v>31</v>
      </c>
      <c r="AY445" s="23">
        <v>52</v>
      </c>
      <c r="AZ445" s="24">
        <v>0</v>
      </c>
      <c r="BA445" s="23">
        <v>12</v>
      </c>
      <c r="BB445" s="24">
        <v>40</v>
      </c>
      <c r="BC445" s="23">
        <v>52</v>
      </c>
      <c r="BD445" s="24">
        <v>13</v>
      </c>
      <c r="BE445" s="23">
        <v>22</v>
      </c>
      <c r="BF445" s="24">
        <v>27</v>
      </c>
      <c r="BG445" s="23">
        <v>47</v>
      </c>
      <c r="BH445" s="24">
        <v>19</v>
      </c>
      <c r="BI445" s="23">
        <v>29</v>
      </c>
      <c r="BJ445" s="24">
        <v>19</v>
      </c>
      <c r="BK445" s="23">
        <v>29</v>
      </c>
      <c r="BL445" s="24">
        <v>0</v>
      </c>
      <c r="BM445" s="20">
        <v>12</v>
      </c>
      <c r="BN445" s="19">
        <v>344</v>
      </c>
      <c r="BO445" s="23">
        <v>290</v>
      </c>
      <c r="BP445" s="24">
        <v>31</v>
      </c>
      <c r="BQ445" s="23">
        <v>39</v>
      </c>
      <c r="BR445" s="24">
        <v>31</v>
      </c>
      <c r="BS445" s="23">
        <v>39</v>
      </c>
      <c r="BT445" s="26">
        <v>0</v>
      </c>
      <c r="BU445" s="23">
        <v>12</v>
      </c>
      <c r="BV445" s="24">
        <v>197</v>
      </c>
      <c r="BW445" s="23">
        <v>191</v>
      </c>
      <c r="BX445" s="24">
        <v>197</v>
      </c>
      <c r="BY445" s="23">
        <v>191</v>
      </c>
      <c r="BZ445" s="24">
        <v>0</v>
      </c>
      <c r="CA445" s="23">
        <v>12</v>
      </c>
      <c r="CB445" s="24">
        <v>116</v>
      </c>
      <c r="CC445" s="23">
        <v>120</v>
      </c>
      <c r="CD445" s="24">
        <v>116</v>
      </c>
      <c r="CE445" s="23">
        <v>120</v>
      </c>
      <c r="CF445" s="24">
        <v>0</v>
      </c>
      <c r="CG445" s="20">
        <v>12</v>
      </c>
    </row>
    <row r="446" spans="1:85" x14ac:dyDescent="0.3">
      <c r="A446" t="s">
        <v>891</v>
      </c>
      <c r="B446">
        <v>21866</v>
      </c>
      <c r="C446" t="s">
        <v>892</v>
      </c>
      <c r="D446" s="19">
        <v>74</v>
      </c>
      <c r="E446" s="20">
        <v>47</v>
      </c>
      <c r="F446" s="19">
        <v>49</v>
      </c>
      <c r="G446" s="23">
        <v>51</v>
      </c>
      <c r="H446" s="24">
        <v>16</v>
      </c>
      <c r="I446" s="23">
        <v>27</v>
      </c>
      <c r="J446" s="24">
        <v>16</v>
      </c>
      <c r="K446" s="23">
        <v>27</v>
      </c>
      <c r="L446" s="24">
        <v>0</v>
      </c>
      <c r="M446" s="23">
        <v>24</v>
      </c>
      <c r="N446" s="24">
        <v>33</v>
      </c>
      <c r="O446" s="23">
        <v>38</v>
      </c>
      <c r="P446" s="24">
        <v>33</v>
      </c>
      <c r="Q446" s="23">
        <v>38</v>
      </c>
      <c r="R446" s="24">
        <v>0</v>
      </c>
      <c r="S446" s="23">
        <v>24</v>
      </c>
      <c r="T446" s="24">
        <v>0</v>
      </c>
      <c r="U446" s="23">
        <v>24</v>
      </c>
      <c r="V446" s="24">
        <v>0</v>
      </c>
      <c r="W446" s="23">
        <v>24</v>
      </c>
      <c r="X446" s="24">
        <v>0</v>
      </c>
      <c r="Y446" s="20">
        <v>24</v>
      </c>
      <c r="Z446" s="19">
        <v>0</v>
      </c>
      <c r="AA446" s="23">
        <v>12</v>
      </c>
      <c r="AB446" s="24">
        <v>0</v>
      </c>
      <c r="AC446" s="23">
        <v>12</v>
      </c>
      <c r="AD446" s="24">
        <v>0</v>
      </c>
      <c r="AE446" s="23">
        <v>12</v>
      </c>
      <c r="AF446" s="24">
        <v>0</v>
      </c>
      <c r="AG446" s="23">
        <v>12</v>
      </c>
      <c r="AH446" s="24">
        <v>0</v>
      </c>
      <c r="AI446" s="23">
        <v>12</v>
      </c>
      <c r="AJ446" s="24">
        <v>0</v>
      </c>
      <c r="AK446" s="23">
        <v>12</v>
      </c>
      <c r="AL446" s="24">
        <v>0</v>
      </c>
      <c r="AM446" s="23">
        <v>12</v>
      </c>
      <c r="AN446" s="24">
        <v>0</v>
      </c>
      <c r="AO446" s="23">
        <v>12</v>
      </c>
      <c r="AP446" s="24">
        <v>0</v>
      </c>
      <c r="AQ446" s="23">
        <v>12</v>
      </c>
      <c r="AR446" s="24">
        <v>0</v>
      </c>
      <c r="AS446" s="20">
        <v>12</v>
      </c>
      <c r="AT446" s="19">
        <v>0</v>
      </c>
      <c r="AU446" s="23">
        <v>12</v>
      </c>
      <c r="AV446" s="24">
        <v>0</v>
      </c>
      <c r="AW446" s="23">
        <v>12</v>
      </c>
      <c r="AX446" s="24">
        <v>0</v>
      </c>
      <c r="AY446" s="23">
        <v>12</v>
      </c>
      <c r="AZ446" s="24">
        <v>0</v>
      </c>
      <c r="BA446" s="23">
        <v>12</v>
      </c>
      <c r="BB446" s="24">
        <v>0</v>
      </c>
      <c r="BC446" s="23">
        <v>12</v>
      </c>
      <c r="BD446" s="24">
        <v>0</v>
      </c>
      <c r="BE446" s="23">
        <v>12</v>
      </c>
      <c r="BF446" s="24">
        <v>0</v>
      </c>
      <c r="BG446" s="23">
        <v>12</v>
      </c>
      <c r="BH446" s="24">
        <v>0</v>
      </c>
      <c r="BI446" s="23">
        <v>12</v>
      </c>
      <c r="BJ446" s="24">
        <v>0</v>
      </c>
      <c r="BK446" s="23">
        <v>12</v>
      </c>
      <c r="BL446" s="24">
        <v>0</v>
      </c>
      <c r="BM446" s="20">
        <v>12</v>
      </c>
      <c r="BN446" s="19">
        <v>25</v>
      </c>
      <c r="BO446" s="23">
        <v>27</v>
      </c>
      <c r="BP446" s="24">
        <v>0</v>
      </c>
      <c r="BQ446" s="23">
        <v>12</v>
      </c>
      <c r="BR446" s="24">
        <v>0</v>
      </c>
      <c r="BS446" s="23">
        <v>12</v>
      </c>
      <c r="BT446" s="26">
        <v>0</v>
      </c>
      <c r="BU446" s="23">
        <v>12</v>
      </c>
      <c r="BV446" s="24">
        <v>8</v>
      </c>
      <c r="BW446" s="23">
        <v>12</v>
      </c>
      <c r="BX446" s="24">
        <v>8</v>
      </c>
      <c r="BY446" s="23">
        <v>12</v>
      </c>
      <c r="BZ446" s="24">
        <v>0</v>
      </c>
      <c r="CA446" s="23">
        <v>12</v>
      </c>
      <c r="CB446" s="24">
        <v>17</v>
      </c>
      <c r="CC446" s="23">
        <v>19</v>
      </c>
      <c r="CD446" s="24">
        <v>17</v>
      </c>
      <c r="CE446" s="23">
        <v>19</v>
      </c>
      <c r="CF446" s="24">
        <v>0</v>
      </c>
      <c r="CG446" s="20">
        <v>12</v>
      </c>
    </row>
    <row r="447" spans="1:85" x14ac:dyDescent="0.3">
      <c r="A447" t="s">
        <v>893</v>
      </c>
      <c r="B447">
        <v>21867</v>
      </c>
      <c r="C447" t="s">
        <v>894</v>
      </c>
      <c r="D447" s="19">
        <v>6</v>
      </c>
      <c r="E447" s="20">
        <v>12</v>
      </c>
      <c r="F447" s="19">
        <v>0</v>
      </c>
      <c r="G447" s="23">
        <v>24</v>
      </c>
      <c r="H447" s="24">
        <v>0</v>
      </c>
      <c r="I447" s="23">
        <v>24</v>
      </c>
      <c r="J447" s="24">
        <v>0</v>
      </c>
      <c r="K447" s="23">
        <v>24</v>
      </c>
      <c r="L447" s="24">
        <v>0</v>
      </c>
      <c r="M447" s="23">
        <v>24</v>
      </c>
      <c r="N447" s="24">
        <v>0</v>
      </c>
      <c r="O447" s="23">
        <v>24</v>
      </c>
      <c r="P447" s="24">
        <v>0</v>
      </c>
      <c r="Q447" s="23">
        <v>24</v>
      </c>
      <c r="R447" s="24">
        <v>0</v>
      </c>
      <c r="S447" s="23">
        <v>24</v>
      </c>
      <c r="T447" s="24">
        <v>0</v>
      </c>
      <c r="U447" s="23">
        <v>24</v>
      </c>
      <c r="V447" s="24">
        <v>0</v>
      </c>
      <c r="W447" s="23">
        <v>24</v>
      </c>
      <c r="X447" s="24">
        <v>0</v>
      </c>
      <c r="Y447" s="20">
        <v>24</v>
      </c>
      <c r="Z447" s="19">
        <v>0</v>
      </c>
      <c r="AA447" s="23">
        <v>12</v>
      </c>
      <c r="AB447" s="24">
        <v>0</v>
      </c>
      <c r="AC447" s="23">
        <v>12</v>
      </c>
      <c r="AD447" s="24">
        <v>0</v>
      </c>
      <c r="AE447" s="23">
        <v>12</v>
      </c>
      <c r="AF447" s="24">
        <v>0</v>
      </c>
      <c r="AG447" s="23">
        <v>12</v>
      </c>
      <c r="AH447" s="24">
        <v>0</v>
      </c>
      <c r="AI447" s="23">
        <v>12</v>
      </c>
      <c r="AJ447" s="24">
        <v>0</v>
      </c>
      <c r="AK447" s="23">
        <v>12</v>
      </c>
      <c r="AL447" s="24">
        <v>0</v>
      </c>
      <c r="AM447" s="23">
        <v>12</v>
      </c>
      <c r="AN447" s="24">
        <v>0</v>
      </c>
      <c r="AO447" s="23">
        <v>12</v>
      </c>
      <c r="AP447" s="24">
        <v>0</v>
      </c>
      <c r="AQ447" s="23">
        <v>12</v>
      </c>
      <c r="AR447" s="24">
        <v>0</v>
      </c>
      <c r="AS447" s="20">
        <v>12</v>
      </c>
      <c r="AT447" s="19">
        <v>6</v>
      </c>
      <c r="AU447" s="23">
        <v>12</v>
      </c>
      <c r="AV447" s="24">
        <v>0</v>
      </c>
      <c r="AW447" s="23">
        <v>12</v>
      </c>
      <c r="AX447" s="24">
        <v>0</v>
      </c>
      <c r="AY447" s="23">
        <v>12</v>
      </c>
      <c r="AZ447" s="24">
        <v>0</v>
      </c>
      <c r="BA447" s="23">
        <v>12</v>
      </c>
      <c r="BB447" s="24">
        <v>6</v>
      </c>
      <c r="BC447" s="23">
        <v>12</v>
      </c>
      <c r="BD447" s="24">
        <v>6</v>
      </c>
      <c r="BE447" s="23">
        <v>12</v>
      </c>
      <c r="BF447" s="24">
        <v>0</v>
      </c>
      <c r="BG447" s="23">
        <v>12</v>
      </c>
      <c r="BH447" s="24">
        <v>0</v>
      </c>
      <c r="BI447" s="23">
        <v>12</v>
      </c>
      <c r="BJ447" s="24">
        <v>0</v>
      </c>
      <c r="BK447" s="23">
        <v>12</v>
      </c>
      <c r="BL447" s="24">
        <v>0</v>
      </c>
      <c r="BM447" s="20">
        <v>12</v>
      </c>
      <c r="BN447" s="19">
        <v>0</v>
      </c>
      <c r="BO447" s="23">
        <v>12</v>
      </c>
      <c r="BP447" s="24">
        <v>0</v>
      </c>
      <c r="BQ447" s="23">
        <v>12</v>
      </c>
      <c r="BR447" s="24">
        <v>0</v>
      </c>
      <c r="BS447" s="23">
        <v>12</v>
      </c>
      <c r="BT447" s="26">
        <v>0</v>
      </c>
      <c r="BU447" s="23">
        <v>12</v>
      </c>
      <c r="BV447" s="24">
        <v>0</v>
      </c>
      <c r="BW447" s="23">
        <v>12</v>
      </c>
      <c r="BX447" s="24">
        <v>0</v>
      </c>
      <c r="BY447" s="23">
        <v>12</v>
      </c>
      <c r="BZ447" s="24">
        <v>0</v>
      </c>
      <c r="CA447" s="23">
        <v>12</v>
      </c>
      <c r="CB447" s="24">
        <v>0</v>
      </c>
      <c r="CC447" s="23">
        <v>12</v>
      </c>
      <c r="CD447" s="24">
        <v>0</v>
      </c>
      <c r="CE447" s="23">
        <v>12</v>
      </c>
      <c r="CF447" s="24">
        <v>0</v>
      </c>
      <c r="CG447" s="20">
        <v>12</v>
      </c>
    </row>
    <row r="448" spans="1:85" x14ac:dyDescent="0.3">
      <c r="A448" t="s">
        <v>895</v>
      </c>
      <c r="B448">
        <v>21869</v>
      </c>
      <c r="C448" t="s">
        <v>896</v>
      </c>
      <c r="D448" s="19">
        <v>1115</v>
      </c>
      <c r="E448" s="20">
        <v>255</v>
      </c>
      <c r="F448" s="19">
        <v>119</v>
      </c>
      <c r="G448" s="23">
        <v>96</v>
      </c>
      <c r="H448" s="24">
        <v>31</v>
      </c>
      <c r="I448" s="23">
        <v>34</v>
      </c>
      <c r="J448" s="24">
        <v>24</v>
      </c>
      <c r="K448" s="23">
        <v>26</v>
      </c>
      <c r="L448" s="24">
        <v>7</v>
      </c>
      <c r="M448" s="23">
        <v>23</v>
      </c>
      <c r="N448" s="24">
        <v>88</v>
      </c>
      <c r="O448" s="23">
        <v>73</v>
      </c>
      <c r="P448" s="24">
        <v>66</v>
      </c>
      <c r="Q448" s="23">
        <v>54</v>
      </c>
      <c r="R448" s="24">
        <v>22</v>
      </c>
      <c r="S448" s="23">
        <v>34</v>
      </c>
      <c r="T448" s="24">
        <v>0</v>
      </c>
      <c r="U448" s="23">
        <v>24</v>
      </c>
      <c r="V448" s="24">
        <v>0</v>
      </c>
      <c r="W448" s="23">
        <v>24</v>
      </c>
      <c r="X448" s="24">
        <v>0</v>
      </c>
      <c r="Y448" s="20">
        <v>24</v>
      </c>
      <c r="Z448" s="19">
        <v>202</v>
      </c>
      <c r="AA448" s="23">
        <v>140</v>
      </c>
      <c r="AB448" s="24">
        <v>95</v>
      </c>
      <c r="AC448" s="23">
        <v>90</v>
      </c>
      <c r="AD448" s="24">
        <v>61</v>
      </c>
      <c r="AE448" s="23">
        <v>53</v>
      </c>
      <c r="AF448" s="24">
        <v>34</v>
      </c>
      <c r="AG448" s="23">
        <v>48</v>
      </c>
      <c r="AH448" s="24">
        <v>78</v>
      </c>
      <c r="AI448" s="23">
        <v>47</v>
      </c>
      <c r="AJ448" s="24">
        <v>69</v>
      </c>
      <c r="AK448" s="23">
        <v>44</v>
      </c>
      <c r="AL448" s="24">
        <v>9</v>
      </c>
      <c r="AM448" s="23">
        <v>14</v>
      </c>
      <c r="AN448" s="24">
        <v>29</v>
      </c>
      <c r="AO448" s="23">
        <v>25</v>
      </c>
      <c r="AP448" s="24">
        <v>29</v>
      </c>
      <c r="AQ448" s="23">
        <v>25</v>
      </c>
      <c r="AR448" s="24">
        <v>0</v>
      </c>
      <c r="AS448" s="20">
        <v>12</v>
      </c>
      <c r="AT448" s="19">
        <v>472</v>
      </c>
      <c r="AU448" s="23">
        <v>173</v>
      </c>
      <c r="AV448" s="24">
        <v>80</v>
      </c>
      <c r="AW448" s="23">
        <v>74</v>
      </c>
      <c r="AX448" s="24">
        <v>80</v>
      </c>
      <c r="AY448" s="23">
        <v>74</v>
      </c>
      <c r="AZ448" s="24">
        <v>0</v>
      </c>
      <c r="BA448" s="23">
        <v>12</v>
      </c>
      <c r="BB448" s="24">
        <v>214</v>
      </c>
      <c r="BC448" s="23">
        <v>95</v>
      </c>
      <c r="BD448" s="24">
        <v>188</v>
      </c>
      <c r="BE448" s="23">
        <v>94</v>
      </c>
      <c r="BF448" s="24">
        <v>26</v>
      </c>
      <c r="BG448" s="23">
        <v>20</v>
      </c>
      <c r="BH448" s="24">
        <v>178</v>
      </c>
      <c r="BI448" s="23">
        <v>75</v>
      </c>
      <c r="BJ448" s="24">
        <v>178</v>
      </c>
      <c r="BK448" s="23">
        <v>75</v>
      </c>
      <c r="BL448" s="24">
        <v>0</v>
      </c>
      <c r="BM448" s="20">
        <v>12</v>
      </c>
      <c r="BN448" s="19">
        <v>322</v>
      </c>
      <c r="BO448" s="23">
        <v>125</v>
      </c>
      <c r="BP448" s="24">
        <v>37</v>
      </c>
      <c r="BQ448" s="23">
        <v>33</v>
      </c>
      <c r="BR448" s="24">
        <v>37</v>
      </c>
      <c r="BS448" s="23">
        <v>33</v>
      </c>
      <c r="BT448" s="26">
        <v>0</v>
      </c>
      <c r="BU448" s="23">
        <v>12</v>
      </c>
      <c r="BV448" s="24">
        <v>190</v>
      </c>
      <c r="BW448" s="23">
        <v>80</v>
      </c>
      <c r="BX448" s="24">
        <v>165</v>
      </c>
      <c r="BY448" s="23">
        <v>72</v>
      </c>
      <c r="BZ448" s="24">
        <v>25</v>
      </c>
      <c r="CA448" s="23">
        <v>35</v>
      </c>
      <c r="CB448" s="24">
        <v>95</v>
      </c>
      <c r="CC448" s="23">
        <v>52</v>
      </c>
      <c r="CD448" s="24">
        <v>95</v>
      </c>
      <c r="CE448" s="23">
        <v>52</v>
      </c>
      <c r="CF448" s="24">
        <v>0</v>
      </c>
      <c r="CG448" s="20">
        <v>12</v>
      </c>
    </row>
    <row r="449" spans="1:85" x14ac:dyDescent="0.3">
      <c r="A449" t="s">
        <v>897</v>
      </c>
      <c r="B449">
        <v>21871</v>
      </c>
      <c r="C449" t="s">
        <v>898</v>
      </c>
      <c r="D449" s="19">
        <v>1808</v>
      </c>
      <c r="E449" s="20">
        <v>354</v>
      </c>
      <c r="F449" s="19">
        <v>502</v>
      </c>
      <c r="G449" s="23">
        <v>373</v>
      </c>
      <c r="H449" s="24">
        <v>146</v>
      </c>
      <c r="I449" s="23">
        <v>160</v>
      </c>
      <c r="J449" s="24">
        <v>146</v>
      </c>
      <c r="K449" s="23">
        <v>160</v>
      </c>
      <c r="L449" s="24">
        <v>0</v>
      </c>
      <c r="M449" s="23">
        <v>24</v>
      </c>
      <c r="N449" s="24">
        <v>277</v>
      </c>
      <c r="O449" s="23">
        <v>223</v>
      </c>
      <c r="P449" s="24">
        <v>263</v>
      </c>
      <c r="Q449" s="23">
        <v>216</v>
      </c>
      <c r="R449" s="24">
        <v>14</v>
      </c>
      <c r="S449" s="23">
        <v>35</v>
      </c>
      <c r="T449" s="24">
        <v>79</v>
      </c>
      <c r="U449" s="23">
        <v>59</v>
      </c>
      <c r="V449" s="24">
        <v>79</v>
      </c>
      <c r="W449" s="23">
        <v>59</v>
      </c>
      <c r="X449" s="24">
        <v>0</v>
      </c>
      <c r="Y449" s="20">
        <v>24</v>
      </c>
      <c r="Z449" s="19">
        <v>84</v>
      </c>
      <c r="AA449" s="23">
        <v>78</v>
      </c>
      <c r="AB449" s="24">
        <v>12</v>
      </c>
      <c r="AC449" s="23">
        <v>28</v>
      </c>
      <c r="AD449" s="24">
        <v>12</v>
      </c>
      <c r="AE449" s="23">
        <v>28</v>
      </c>
      <c r="AF449" s="24">
        <v>0</v>
      </c>
      <c r="AG449" s="23">
        <v>12</v>
      </c>
      <c r="AH449" s="24">
        <v>62</v>
      </c>
      <c r="AI449" s="23">
        <v>56</v>
      </c>
      <c r="AJ449" s="24">
        <v>36</v>
      </c>
      <c r="AK449" s="23">
        <v>44</v>
      </c>
      <c r="AL449" s="24">
        <v>26</v>
      </c>
      <c r="AM449" s="23">
        <v>33</v>
      </c>
      <c r="AN449" s="24">
        <v>10</v>
      </c>
      <c r="AO449" s="23">
        <v>18</v>
      </c>
      <c r="AP449" s="24">
        <v>10</v>
      </c>
      <c r="AQ449" s="23">
        <v>18</v>
      </c>
      <c r="AR449" s="24">
        <v>0</v>
      </c>
      <c r="AS449" s="20">
        <v>12</v>
      </c>
      <c r="AT449" s="19">
        <v>529</v>
      </c>
      <c r="AU449" s="23">
        <v>182</v>
      </c>
      <c r="AV449" s="24">
        <v>73</v>
      </c>
      <c r="AW449" s="23">
        <v>62</v>
      </c>
      <c r="AX449" s="24">
        <v>73</v>
      </c>
      <c r="AY449" s="23">
        <v>62</v>
      </c>
      <c r="AZ449" s="24">
        <v>0</v>
      </c>
      <c r="BA449" s="23">
        <v>12</v>
      </c>
      <c r="BB449" s="24">
        <v>335</v>
      </c>
      <c r="BC449" s="23">
        <v>153</v>
      </c>
      <c r="BD449" s="24">
        <v>143</v>
      </c>
      <c r="BE449" s="23">
        <v>77</v>
      </c>
      <c r="BF449" s="24">
        <v>192</v>
      </c>
      <c r="BG449" s="23">
        <v>146</v>
      </c>
      <c r="BH449" s="24">
        <v>121</v>
      </c>
      <c r="BI449" s="23">
        <v>60</v>
      </c>
      <c r="BJ449" s="24">
        <v>121</v>
      </c>
      <c r="BK449" s="23">
        <v>60</v>
      </c>
      <c r="BL449" s="24">
        <v>0</v>
      </c>
      <c r="BM449" s="20">
        <v>12</v>
      </c>
      <c r="BN449" s="19">
        <v>693</v>
      </c>
      <c r="BO449" s="23">
        <v>247</v>
      </c>
      <c r="BP449" s="24">
        <v>119</v>
      </c>
      <c r="BQ449" s="23">
        <v>88</v>
      </c>
      <c r="BR449" s="24">
        <v>119</v>
      </c>
      <c r="BS449" s="23">
        <v>88</v>
      </c>
      <c r="BT449" s="26">
        <v>0</v>
      </c>
      <c r="BU449" s="23">
        <v>12</v>
      </c>
      <c r="BV449" s="24">
        <v>387</v>
      </c>
      <c r="BW449" s="23">
        <v>156</v>
      </c>
      <c r="BX449" s="24">
        <v>379</v>
      </c>
      <c r="BY449" s="23">
        <v>160</v>
      </c>
      <c r="BZ449" s="24">
        <v>8</v>
      </c>
      <c r="CA449" s="23">
        <v>16</v>
      </c>
      <c r="CB449" s="24">
        <v>187</v>
      </c>
      <c r="CC449" s="23">
        <v>75</v>
      </c>
      <c r="CD449" s="24">
        <v>187</v>
      </c>
      <c r="CE449" s="23">
        <v>75</v>
      </c>
      <c r="CF449" s="24">
        <v>0</v>
      </c>
      <c r="CG449" s="20">
        <v>12</v>
      </c>
    </row>
    <row r="450" spans="1:85" x14ac:dyDescent="0.3">
      <c r="A450" t="s">
        <v>899</v>
      </c>
      <c r="B450">
        <v>21872</v>
      </c>
      <c r="C450" t="s">
        <v>900</v>
      </c>
      <c r="D450" s="19">
        <v>497</v>
      </c>
      <c r="E450" s="20">
        <v>245</v>
      </c>
      <c r="F450" s="19">
        <v>78</v>
      </c>
      <c r="G450" s="23">
        <v>83</v>
      </c>
      <c r="H450" s="24">
        <v>0</v>
      </c>
      <c r="I450" s="23">
        <v>24</v>
      </c>
      <c r="J450" s="24">
        <v>0</v>
      </c>
      <c r="K450" s="23">
        <v>24</v>
      </c>
      <c r="L450" s="24">
        <v>0</v>
      </c>
      <c r="M450" s="23">
        <v>24</v>
      </c>
      <c r="N450" s="24">
        <v>67</v>
      </c>
      <c r="O450" s="23">
        <v>74</v>
      </c>
      <c r="P450" s="24">
        <v>67</v>
      </c>
      <c r="Q450" s="23">
        <v>74</v>
      </c>
      <c r="R450" s="24">
        <v>0</v>
      </c>
      <c r="S450" s="23">
        <v>24</v>
      </c>
      <c r="T450" s="24">
        <v>11</v>
      </c>
      <c r="U450" s="23">
        <v>32</v>
      </c>
      <c r="V450" s="24">
        <v>11</v>
      </c>
      <c r="W450" s="23">
        <v>32</v>
      </c>
      <c r="X450" s="24">
        <v>0</v>
      </c>
      <c r="Y450" s="20">
        <v>24</v>
      </c>
      <c r="Z450" s="19">
        <v>102</v>
      </c>
      <c r="AA450" s="23">
        <v>90</v>
      </c>
      <c r="AB450" s="24">
        <v>0</v>
      </c>
      <c r="AC450" s="23">
        <v>12</v>
      </c>
      <c r="AD450" s="24">
        <v>0</v>
      </c>
      <c r="AE450" s="23">
        <v>12</v>
      </c>
      <c r="AF450" s="24">
        <v>0</v>
      </c>
      <c r="AG450" s="23">
        <v>12</v>
      </c>
      <c r="AH450" s="24">
        <v>76</v>
      </c>
      <c r="AI450" s="23">
        <v>72</v>
      </c>
      <c r="AJ450" s="24">
        <v>14</v>
      </c>
      <c r="AK450" s="23">
        <v>24</v>
      </c>
      <c r="AL450" s="24">
        <v>62</v>
      </c>
      <c r="AM450" s="23">
        <v>67</v>
      </c>
      <c r="AN450" s="24">
        <v>26</v>
      </c>
      <c r="AO450" s="23">
        <v>31</v>
      </c>
      <c r="AP450" s="24">
        <v>26</v>
      </c>
      <c r="AQ450" s="23">
        <v>31</v>
      </c>
      <c r="AR450" s="24">
        <v>0</v>
      </c>
      <c r="AS450" s="20">
        <v>12</v>
      </c>
      <c r="AT450" s="19">
        <v>200</v>
      </c>
      <c r="AU450" s="23">
        <v>173</v>
      </c>
      <c r="AV450" s="24">
        <v>0</v>
      </c>
      <c r="AW450" s="23">
        <v>12</v>
      </c>
      <c r="AX450" s="24">
        <v>0</v>
      </c>
      <c r="AY450" s="23">
        <v>12</v>
      </c>
      <c r="AZ450" s="24">
        <v>0</v>
      </c>
      <c r="BA450" s="23">
        <v>12</v>
      </c>
      <c r="BB450" s="24">
        <v>172</v>
      </c>
      <c r="BC450" s="23">
        <v>141</v>
      </c>
      <c r="BD450" s="24">
        <v>172</v>
      </c>
      <c r="BE450" s="23">
        <v>141</v>
      </c>
      <c r="BF450" s="24">
        <v>0</v>
      </c>
      <c r="BG450" s="23">
        <v>12</v>
      </c>
      <c r="BH450" s="24">
        <v>28</v>
      </c>
      <c r="BI450" s="23">
        <v>43</v>
      </c>
      <c r="BJ450" s="24">
        <v>28</v>
      </c>
      <c r="BK450" s="23">
        <v>43</v>
      </c>
      <c r="BL450" s="24">
        <v>0</v>
      </c>
      <c r="BM450" s="20">
        <v>12</v>
      </c>
      <c r="BN450" s="19">
        <v>117</v>
      </c>
      <c r="BO450" s="23">
        <v>87</v>
      </c>
      <c r="BP450" s="24">
        <v>0</v>
      </c>
      <c r="BQ450" s="23">
        <v>12</v>
      </c>
      <c r="BR450" s="24">
        <v>0</v>
      </c>
      <c r="BS450" s="23">
        <v>12</v>
      </c>
      <c r="BT450" s="26">
        <v>0</v>
      </c>
      <c r="BU450" s="23">
        <v>12</v>
      </c>
      <c r="BV450" s="24">
        <v>117</v>
      </c>
      <c r="BW450" s="23">
        <v>87</v>
      </c>
      <c r="BX450" s="24">
        <v>87</v>
      </c>
      <c r="BY450" s="23">
        <v>72</v>
      </c>
      <c r="BZ450" s="24">
        <v>30</v>
      </c>
      <c r="CA450" s="23">
        <v>48</v>
      </c>
      <c r="CB450" s="24">
        <v>0</v>
      </c>
      <c r="CC450" s="23">
        <v>12</v>
      </c>
      <c r="CD450" s="24">
        <v>0</v>
      </c>
      <c r="CE450" s="23">
        <v>12</v>
      </c>
      <c r="CF450" s="24">
        <v>0</v>
      </c>
      <c r="CG450" s="20">
        <v>12</v>
      </c>
    </row>
    <row r="451" spans="1:85" x14ac:dyDescent="0.3">
      <c r="A451" t="s">
        <v>901</v>
      </c>
      <c r="B451">
        <v>21874</v>
      </c>
      <c r="C451" t="s">
        <v>902</v>
      </c>
      <c r="D451" s="19">
        <v>2049</v>
      </c>
      <c r="E451" s="20">
        <v>334</v>
      </c>
      <c r="F451" s="19">
        <v>429</v>
      </c>
      <c r="G451" s="23">
        <v>263</v>
      </c>
      <c r="H451" s="24">
        <v>139</v>
      </c>
      <c r="I451" s="23">
        <v>118</v>
      </c>
      <c r="J451" s="24">
        <v>139</v>
      </c>
      <c r="K451" s="23">
        <v>118</v>
      </c>
      <c r="L451" s="24">
        <v>0</v>
      </c>
      <c r="M451" s="23">
        <v>24</v>
      </c>
      <c r="N451" s="24">
        <v>266</v>
      </c>
      <c r="O451" s="23">
        <v>162</v>
      </c>
      <c r="P451" s="24">
        <v>194</v>
      </c>
      <c r="Q451" s="23">
        <v>119</v>
      </c>
      <c r="R451" s="24">
        <v>72</v>
      </c>
      <c r="S451" s="23">
        <v>76</v>
      </c>
      <c r="T451" s="24">
        <v>24</v>
      </c>
      <c r="U451" s="23">
        <v>18</v>
      </c>
      <c r="V451" s="24">
        <v>24</v>
      </c>
      <c r="W451" s="23">
        <v>18</v>
      </c>
      <c r="X451" s="24">
        <v>0</v>
      </c>
      <c r="Y451" s="20">
        <v>24</v>
      </c>
      <c r="Z451" s="19">
        <v>309</v>
      </c>
      <c r="AA451" s="23">
        <v>190</v>
      </c>
      <c r="AB451" s="24">
        <v>109</v>
      </c>
      <c r="AC451" s="23">
        <v>113</v>
      </c>
      <c r="AD451" s="24">
        <v>100</v>
      </c>
      <c r="AE451" s="23">
        <v>112</v>
      </c>
      <c r="AF451" s="24">
        <v>9</v>
      </c>
      <c r="AG451" s="23">
        <v>15</v>
      </c>
      <c r="AH451" s="24">
        <v>168</v>
      </c>
      <c r="AI451" s="23">
        <v>97</v>
      </c>
      <c r="AJ451" s="24">
        <v>147</v>
      </c>
      <c r="AK451" s="23">
        <v>95</v>
      </c>
      <c r="AL451" s="24">
        <v>21</v>
      </c>
      <c r="AM451" s="23">
        <v>17</v>
      </c>
      <c r="AN451" s="24">
        <v>32</v>
      </c>
      <c r="AO451" s="23">
        <v>31</v>
      </c>
      <c r="AP451" s="24">
        <v>32</v>
      </c>
      <c r="AQ451" s="23">
        <v>31</v>
      </c>
      <c r="AR451" s="24">
        <v>0</v>
      </c>
      <c r="AS451" s="20">
        <v>12</v>
      </c>
      <c r="AT451" s="19">
        <v>682</v>
      </c>
      <c r="AU451" s="23">
        <v>235</v>
      </c>
      <c r="AV451" s="24">
        <v>148</v>
      </c>
      <c r="AW451" s="23">
        <v>75</v>
      </c>
      <c r="AX451" s="24">
        <v>148</v>
      </c>
      <c r="AY451" s="23">
        <v>75</v>
      </c>
      <c r="AZ451" s="24">
        <v>0</v>
      </c>
      <c r="BA451" s="23">
        <v>12</v>
      </c>
      <c r="BB451" s="24">
        <v>427</v>
      </c>
      <c r="BC451" s="23">
        <v>169</v>
      </c>
      <c r="BD451" s="24">
        <v>379</v>
      </c>
      <c r="BE451" s="23">
        <v>146</v>
      </c>
      <c r="BF451" s="24">
        <v>48</v>
      </c>
      <c r="BG451" s="23">
        <v>41</v>
      </c>
      <c r="BH451" s="24">
        <v>107</v>
      </c>
      <c r="BI451" s="23">
        <v>53</v>
      </c>
      <c r="BJ451" s="24">
        <v>107</v>
      </c>
      <c r="BK451" s="23">
        <v>53</v>
      </c>
      <c r="BL451" s="24">
        <v>0</v>
      </c>
      <c r="BM451" s="20">
        <v>12</v>
      </c>
      <c r="BN451" s="19">
        <v>629</v>
      </c>
      <c r="BO451" s="23">
        <v>222</v>
      </c>
      <c r="BP451" s="24">
        <v>58</v>
      </c>
      <c r="BQ451" s="23">
        <v>38</v>
      </c>
      <c r="BR451" s="24">
        <v>58</v>
      </c>
      <c r="BS451" s="23">
        <v>38</v>
      </c>
      <c r="BT451" s="26">
        <v>0</v>
      </c>
      <c r="BU451" s="23">
        <v>12</v>
      </c>
      <c r="BV451" s="24">
        <v>464</v>
      </c>
      <c r="BW451" s="23">
        <v>170</v>
      </c>
      <c r="BX451" s="24">
        <v>379</v>
      </c>
      <c r="BY451" s="23">
        <v>151</v>
      </c>
      <c r="BZ451" s="24">
        <v>85</v>
      </c>
      <c r="CA451" s="23">
        <v>73</v>
      </c>
      <c r="CB451" s="24">
        <v>107</v>
      </c>
      <c r="CC451" s="23">
        <v>78</v>
      </c>
      <c r="CD451" s="24">
        <v>102</v>
      </c>
      <c r="CE451" s="23">
        <v>78</v>
      </c>
      <c r="CF451" s="24">
        <v>5</v>
      </c>
      <c r="CG451" s="20">
        <v>10</v>
      </c>
    </row>
    <row r="452" spans="1:85" x14ac:dyDescent="0.3">
      <c r="A452" t="s">
        <v>903</v>
      </c>
      <c r="B452">
        <v>21875</v>
      </c>
      <c r="C452" t="s">
        <v>904</v>
      </c>
      <c r="D452" s="19">
        <v>6132</v>
      </c>
      <c r="E452" s="20">
        <v>668</v>
      </c>
      <c r="F452" s="19">
        <v>1210</v>
      </c>
      <c r="G452" s="23">
        <v>694</v>
      </c>
      <c r="H452" s="24">
        <v>591</v>
      </c>
      <c r="I452" s="23">
        <v>466</v>
      </c>
      <c r="J452" s="24">
        <v>569</v>
      </c>
      <c r="K452" s="23">
        <v>463</v>
      </c>
      <c r="L452" s="24">
        <v>22</v>
      </c>
      <c r="M452" s="23">
        <v>51</v>
      </c>
      <c r="N452" s="24">
        <v>543</v>
      </c>
      <c r="O452" s="23">
        <v>255</v>
      </c>
      <c r="P452" s="24">
        <v>262</v>
      </c>
      <c r="Q452" s="23">
        <v>128</v>
      </c>
      <c r="R452" s="24">
        <v>281</v>
      </c>
      <c r="S452" s="23">
        <v>220</v>
      </c>
      <c r="T452" s="24">
        <v>76</v>
      </c>
      <c r="U452" s="23">
        <v>62</v>
      </c>
      <c r="V452" s="24">
        <v>76</v>
      </c>
      <c r="W452" s="23">
        <v>62</v>
      </c>
      <c r="X452" s="24">
        <v>0</v>
      </c>
      <c r="Y452" s="20">
        <v>34</v>
      </c>
      <c r="Z452" s="19">
        <v>497</v>
      </c>
      <c r="AA452" s="23">
        <v>212</v>
      </c>
      <c r="AB452" s="24">
        <v>140</v>
      </c>
      <c r="AC452" s="23">
        <v>121</v>
      </c>
      <c r="AD452" s="24">
        <v>121</v>
      </c>
      <c r="AE452" s="23">
        <v>119</v>
      </c>
      <c r="AF452" s="24">
        <v>19</v>
      </c>
      <c r="AG452" s="23">
        <v>28</v>
      </c>
      <c r="AH452" s="24">
        <v>227</v>
      </c>
      <c r="AI452" s="23">
        <v>107</v>
      </c>
      <c r="AJ452" s="24">
        <v>167</v>
      </c>
      <c r="AK452" s="23">
        <v>89</v>
      </c>
      <c r="AL452" s="24">
        <v>60</v>
      </c>
      <c r="AM452" s="23">
        <v>51</v>
      </c>
      <c r="AN452" s="24">
        <v>130</v>
      </c>
      <c r="AO452" s="23">
        <v>73</v>
      </c>
      <c r="AP452" s="24">
        <v>130</v>
      </c>
      <c r="AQ452" s="23">
        <v>73</v>
      </c>
      <c r="AR452" s="24">
        <v>0</v>
      </c>
      <c r="AS452" s="20">
        <v>17</v>
      </c>
      <c r="AT452" s="19">
        <v>1762</v>
      </c>
      <c r="AU452" s="23">
        <v>444</v>
      </c>
      <c r="AV452" s="24">
        <v>258</v>
      </c>
      <c r="AW452" s="23">
        <v>137</v>
      </c>
      <c r="AX452" s="24">
        <v>258</v>
      </c>
      <c r="AY452" s="23">
        <v>137</v>
      </c>
      <c r="AZ452" s="24">
        <v>0</v>
      </c>
      <c r="BA452" s="23">
        <v>17</v>
      </c>
      <c r="BB452" s="24">
        <v>1100</v>
      </c>
      <c r="BC452" s="23">
        <v>309</v>
      </c>
      <c r="BD452" s="24">
        <v>957</v>
      </c>
      <c r="BE452" s="23">
        <v>275</v>
      </c>
      <c r="BF452" s="24">
        <v>143</v>
      </c>
      <c r="BG452" s="23">
        <v>90</v>
      </c>
      <c r="BH452" s="24">
        <v>404</v>
      </c>
      <c r="BI452" s="23">
        <v>153</v>
      </c>
      <c r="BJ452" s="24">
        <v>404</v>
      </c>
      <c r="BK452" s="23">
        <v>153</v>
      </c>
      <c r="BL452" s="24">
        <v>0</v>
      </c>
      <c r="BM452" s="20">
        <v>17</v>
      </c>
      <c r="BN452" s="19">
        <v>2663</v>
      </c>
      <c r="BO452" s="23">
        <v>437</v>
      </c>
      <c r="BP452" s="24">
        <v>519</v>
      </c>
      <c r="BQ452" s="23">
        <v>176</v>
      </c>
      <c r="BR452" s="24">
        <v>519</v>
      </c>
      <c r="BS452" s="23">
        <v>176</v>
      </c>
      <c r="BT452" s="26">
        <v>0</v>
      </c>
      <c r="BU452" s="23">
        <v>17</v>
      </c>
      <c r="BV452" s="24">
        <v>1774</v>
      </c>
      <c r="BW452" s="23">
        <v>329</v>
      </c>
      <c r="BX452" s="24">
        <v>1606</v>
      </c>
      <c r="BY452" s="23">
        <v>314</v>
      </c>
      <c r="BZ452" s="24">
        <v>168</v>
      </c>
      <c r="CA452" s="23">
        <v>114</v>
      </c>
      <c r="CB452" s="24">
        <v>370</v>
      </c>
      <c r="CC452" s="23">
        <v>139</v>
      </c>
      <c r="CD452" s="24">
        <v>370</v>
      </c>
      <c r="CE452" s="23">
        <v>139</v>
      </c>
      <c r="CF452" s="24">
        <v>0</v>
      </c>
      <c r="CG452" s="20">
        <v>17</v>
      </c>
    </row>
    <row r="453" spans="1:85" x14ac:dyDescent="0.3">
      <c r="A453" t="s">
        <v>905</v>
      </c>
      <c r="B453">
        <v>21890</v>
      </c>
      <c r="C453" t="s">
        <v>906</v>
      </c>
      <c r="D453" s="19">
        <v>0</v>
      </c>
      <c r="E453" s="20">
        <v>12</v>
      </c>
      <c r="F453" s="19">
        <v>0</v>
      </c>
      <c r="G453" s="23">
        <v>24</v>
      </c>
      <c r="H453" s="24">
        <v>0</v>
      </c>
      <c r="I453" s="23">
        <v>24</v>
      </c>
      <c r="J453" s="24">
        <v>0</v>
      </c>
      <c r="K453" s="23">
        <v>24</v>
      </c>
      <c r="L453" s="24">
        <v>0</v>
      </c>
      <c r="M453" s="23">
        <v>24</v>
      </c>
      <c r="N453" s="24">
        <v>0</v>
      </c>
      <c r="O453" s="23">
        <v>24</v>
      </c>
      <c r="P453" s="24">
        <v>0</v>
      </c>
      <c r="Q453" s="23">
        <v>24</v>
      </c>
      <c r="R453" s="24">
        <v>0</v>
      </c>
      <c r="S453" s="23">
        <v>24</v>
      </c>
      <c r="T453" s="24">
        <v>0</v>
      </c>
      <c r="U453" s="23">
        <v>24</v>
      </c>
      <c r="V453" s="24">
        <v>0</v>
      </c>
      <c r="W453" s="23">
        <v>24</v>
      </c>
      <c r="X453" s="24">
        <v>0</v>
      </c>
      <c r="Y453" s="20">
        <v>24</v>
      </c>
      <c r="Z453" s="19">
        <v>0</v>
      </c>
      <c r="AA453" s="23">
        <v>12</v>
      </c>
      <c r="AB453" s="24">
        <v>0</v>
      </c>
      <c r="AC453" s="23">
        <v>12</v>
      </c>
      <c r="AD453" s="24">
        <v>0</v>
      </c>
      <c r="AE453" s="23">
        <v>12</v>
      </c>
      <c r="AF453" s="24">
        <v>0</v>
      </c>
      <c r="AG453" s="23">
        <v>12</v>
      </c>
      <c r="AH453" s="24">
        <v>0</v>
      </c>
      <c r="AI453" s="23">
        <v>12</v>
      </c>
      <c r="AJ453" s="24">
        <v>0</v>
      </c>
      <c r="AK453" s="23">
        <v>12</v>
      </c>
      <c r="AL453" s="24">
        <v>0</v>
      </c>
      <c r="AM453" s="23">
        <v>12</v>
      </c>
      <c r="AN453" s="24">
        <v>0</v>
      </c>
      <c r="AO453" s="23">
        <v>12</v>
      </c>
      <c r="AP453" s="24">
        <v>0</v>
      </c>
      <c r="AQ453" s="23">
        <v>12</v>
      </c>
      <c r="AR453" s="24">
        <v>0</v>
      </c>
      <c r="AS453" s="20">
        <v>12</v>
      </c>
      <c r="AT453" s="19">
        <v>0</v>
      </c>
      <c r="AU453" s="23">
        <v>12</v>
      </c>
      <c r="AV453" s="24">
        <v>0</v>
      </c>
      <c r="AW453" s="23">
        <v>12</v>
      </c>
      <c r="AX453" s="24">
        <v>0</v>
      </c>
      <c r="AY453" s="23">
        <v>12</v>
      </c>
      <c r="AZ453" s="24">
        <v>0</v>
      </c>
      <c r="BA453" s="23">
        <v>12</v>
      </c>
      <c r="BB453" s="24">
        <v>0</v>
      </c>
      <c r="BC453" s="23">
        <v>12</v>
      </c>
      <c r="BD453" s="24">
        <v>0</v>
      </c>
      <c r="BE453" s="23">
        <v>12</v>
      </c>
      <c r="BF453" s="24">
        <v>0</v>
      </c>
      <c r="BG453" s="23">
        <v>12</v>
      </c>
      <c r="BH453" s="24">
        <v>0</v>
      </c>
      <c r="BI453" s="23">
        <v>12</v>
      </c>
      <c r="BJ453" s="24">
        <v>0</v>
      </c>
      <c r="BK453" s="23">
        <v>12</v>
      </c>
      <c r="BL453" s="24">
        <v>0</v>
      </c>
      <c r="BM453" s="20">
        <v>12</v>
      </c>
      <c r="BN453" s="19">
        <v>0</v>
      </c>
      <c r="BO453" s="23">
        <v>12</v>
      </c>
      <c r="BP453" s="24">
        <v>0</v>
      </c>
      <c r="BQ453" s="23">
        <v>12</v>
      </c>
      <c r="BR453" s="24">
        <v>0</v>
      </c>
      <c r="BS453" s="23">
        <v>12</v>
      </c>
      <c r="BT453" s="26">
        <v>0</v>
      </c>
      <c r="BU453" s="23">
        <v>12</v>
      </c>
      <c r="BV453" s="24">
        <v>0</v>
      </c>
      <c r="BW453" s="23">
        <v>12</v>
      </c>
      <c r="BX453" s="24">
        <v>0</v>
      </c>
      <c r="BY453" s="23">
        <v>12</v>
      </c>
      <c r="BZ453" s="24">
        <v>0</v>
      </c>
      <c r="CA453" s="23">
        <v>12</v>
      </c>
      <c r="CB453" s="24">
        <v>0</v>
      </c>
      <c r="CC453" s="23">
        <v>12</v>
      </c>
      <c r="CD453" s="24">
        <v>0</v>
      </c>
      <c r="CE453" s="23">
        <v>12</v>
      </c>
      <c r="CF453" s="24">
        <v>0</v>
      </c>
      <c r="CG453" s="20">
        <v>12</v>
      </c>
    </row>
    <row r="454" spans="1:85" x14ac:dyDescent="0.3">
      <c r="A454" t="s">
        <v>907</v>
      </c>
      <c r="B454">
        <v>21901</v>
      </c>
      <c r="C454" t="s">
        <v>908</v>
      </c>
      <c r="D454" s="19">
        <v>17441</v>
      </c>
      <c r="E454" s="20">
        <v>1021</v>
      </c>
      <c r="F454" s="19">
        <v>2466</v>
      </c>
      <c r="G454" s="23">
        <v>892</v>
      </c>
      <c r="H454" s="24">
        <v>735</v>
      </c>
      <c r="I454" s="23">
        <v>393</v>
      </c>
      <c r="J454" s="24">
        <v>664</v>
      </c>
      <c r="K454" s="23">
        <v>373</v>
      </c>
      <c r="L454" s="24">
        <v>71</v>
      </c>
      <c r="M454" s="23">
        <v>107</v>
      </c>
      <c r="N454" s="24">
        <v>1452</v>
      </c>
      <c r="O454" s="23">
        <v>563</v>
      </c>
      <c r="P454" s="24">
        <v>1249</v>
      </c>
      <c r="Q454" s="23">
        <v>523</v>
      </c>
      <c r="R454" s="24">
        <v>203</v>
      </c>
      <c r="S454" s="23">
        <v>177</v>
      </c>
      <c r="T454" s="24">
        <v>279</v>
      </c>
      <c r="U454" s="23">
        <v>234</v>
      </c>
      <c r="V454" s="24">
        <v>263</v>
      </c>
      <c r="W454" s="23">
        <v>228</v>
      </c>
      <c r="X454" s="24">
        <v>16</v>
      </c>
      <c r="Y454" s="20">
        <v>45</v>
      </c>
      <c r="Z454" s="19">
        <v>1550</v>
      </c>
      <c r="AA454" s="23">
        <v>514</v>
      </c>
      <c r="AB454" s="24">
        <v>522</v>
      </c>
      <c r="AC454" s="23">
        <v>265</v>
      </c>
      <c r="AD454" s="24">
        <v>504</v>
      </c>
      <c r="AE454" s="23">
        <v>266</v>
      </c>
      <c r="AF454" s="24">
        <v>18</v>
      </c>
      <c r="AG454" s="23">
        <v>29</v>
      </c>
      <c r="AH454" s="24">
        <v>837</v>
      </c>
      <c r="AI454" s="23">
        <v>275</v>
      </c>
      <c r="AJ454" s="24">
        <v>695</v>
      </c>
      <c r="AK454" s="23">
        <v>253</v>
      </c>
      <c r="AL454" s="24">
        <v>142</v>
      </c>
      <c r="AM454" s="23">
        <v>94</v>
      </c>
      <c r="AN454" s="24">
        <v>191</v>
      </c>
      <c r="AO454" s="23">
        <v>110</v>
      </c>
      <c r="AP454" s="24">
        <v>191</v>
      </c>
      <c r="AQ454" s="23">
        <v>110</v>
      </c>
      <c r="AR454" s="24">
        <v>0</v>
      </c>
      <c r="AS454" s="20">
        <v>19</v>
      </c>
      <c r="AT454" s="19">
        <v>5177</v>
      </c>
      <c r="AU454" s="23">
        <v>757</v>
      </c>
      <c r="AV454" s="24">
        <v>1244</v>
      </c>
      <c r="AW454" s="23">
        <v>343</v>
      </c>
      <c r="AX454" s="24">
        <v>1233</v>
      </c>
      <c r="AY454" s="23">
        <v>342</v>
      </c>
      <c r="AZ454" s="24">
        <v>11</v>
      </c>
      <c r="BA454" s="23">
        <v>19</v>
      </c>
      <c r="BB454" s="24">
        <v>2931</v>
      </c>
      <c r="BC454" s="23">
        <v>452</v>
      </c>
      <c r="BD454" s="24">
        <v>2697</v>
      </c>
      <c r="BE454" s="23">
        <v>449</v>
      </c>
      <c r="BF454" s="24">
        <v>234</v>
      </c>
      <c r="BG454" s="23">
        <v>148</v>
      </c>
      <c r="BH454" s="24">
        <v>1002</v>
      </c>
      <c r="BI454" s="23">
        <v>275</v>
      </c>
      <c r="BJ454" s="24">
        <v>1002</v>
      </c>
      <c r="BK454" s="23">
        <v>275</v>
      </c>
      <c r="BL454" s="24">
        <v>0</v>
      </c>
      <c r="BM454" s="20">
        <v>19</v>
      </c>
      <c r="BN454" s="19">
        <v>8248</v>
      </c>
      <c r="BO454" s="23">
        <v>923</v>
      </c>
      <c r="BP454" s="24">
        <v>1770</v>
      </c>
      <c r="BQ454" s="23">
        <v>350</v>
      </c>
      <c r="BR454" s="24">
        <v>1762</v>
      </c>
      <c r="BS454" s="23">
        <v>350</v>
      </c>
      <c r="BT454" s="26">
        <v>8</v>
      </c>
      <c r="BU454" s="23">
        <v>16</v>
      </c>
      <c r="BV454" s="24">
        <v>5512</v>
      </c>
      <c r="BW454" s="23">
        <v>625</v>
      </c>
      <c r="BX454" s="24">
        <v>5368</v>
      </c>
      <c r="BY454" s="23">
        <v>627</v>
      </c>
      <c r="BZ454" s="24">
        <v>144</v>
      </c>
      <c r="CA454" s="23">
        <v>100</v>
      </c>
      <c r="CB454" s="24">
        <v>966</v>
      </c>
      <c r="CC454" s="23">
        <v>268</v>
      </c>
      <c r="CD454" s="24">
        <v>966</v>
      </c>
      <c r="CE454" s="23">
        <v>268</v>
      </c>
      <c r="CF454" s="24">
        <v>0</v>
      </c>
      <c r="CG454" s="20">
        <v>19</v>
      </c>
    </row>
    <row r="455" spans="1:85" x14ac:dyDescent="0.3">
      <c r="A455" t="s">
        <v>909</v>
      </c>
      <c r="B455">
        <v>21902</v>
      </c>
      <c r="C455" t="s">
        <v>910</v>
      </c>
      <c r="D455" s="19">
        <v>132</v>
      </c>
      <c r="E455" s="20">
        <v>81</v>
      </c>
      <c r="F455" s="19">
        <v>93</v>
      </c>
      <c r="G455" s="23">
        <v>71</v>
      </c>
      <c r="H455" s="24">
        <v>0</v>
      </c>
      <c r="I455" s="23">
        <v>24</v>
      </c>
      <c r="J455" s="24">
        <v>0</v>
      </c>
      <c r="K455" s="23">
        <v>24</v>
      </c>
      <c r="L455" s="24">
        <v>0</v>
      </c>
      <c r="M455" s="23">
        <v>24</v>
      </c>
      <c r="N455" s="24">
        <v>93</v>
      </c>
      <c r="O455" s="23">
        <v>71</v>
      </c>
      <c r="P455" s="24">
        <v>86</v>
      </c>
      <c r="Q455" s="23">
        <v>69</v>
      </c>
      <c r="R455" s="24">
        <v>7</v>
      </c>
      <c r="S455" s="23">
        <v>21</v>
      </c>
      <c r="T455" s="24">
        <v>0</v>
      </c>
      <c r="U455" s="23">
        <v>24</v>
      </c>
      <c r="V455" s="24">
        <v>0</v>
      </c>
      <c r="W455" s="23">
        <v>24</v>
      </c>
      <c r="X455" s="24">
        <v>0</v>
      </c>
      <c r="Y455" s="20">
        <v>24</v>
      </c>
      <c r="Z455" s="19">
        <v>21</v>
      </c>
      <c r="AA455" s="23">
        <v>28</v>
      </c>
      <c r="AB455" s="24">
        <v>0</v>
      </c>
      <c r="AC455" s="23">
        <v>12</v>
      </c>
      <c r="AD455" s="24">
        <v>0</v>
      </c>
      <c r="AE455" s="23">
        <v>12</v>
      </c>
      <c r="AF455" s="24">
        <v>0</v>
      </c>
      <c r="AG455" s="23">
        <v>12</v>
      </c>
      <c r="AH455" s="24">
        <v>8</v>
      </c>
      <c r="AI455" s="23">
        <v>18</v>
      </c>
      <c r="AJ455" s="24">
        <v>8</v>
      </c>
      <c r="AK455" s="23">
        <v>18</v>
      </c>
      <c r="AL455" s="24">
        <v>0</v>
      </c>
      <c r="AM455" s="23">
        <v>12</v>
      </c>
      <c r="AN455" s="24">
        <v>13</v>
      </c>
      <c r="AO455" s="23">
        <v>25</v>
      </c>
      <c r="AP455" s="24">
        <v>13</v>
      </c>
      <c r="AQ455" s="23">
        <v>25</v>
      </c>
      <c r="AR455" s="24">
        <v>0</v>
      </c>
      <c r="AS455" s="20">
        <v>12</v>
      </c>
      <c r="AT455" s="19">
        <v>18</v>
      </c>
      <c r="AU455" s="23">
        <v>24</v>
      </c>
      <c r="AV455" s="24">
        <v>0</v>
      </c>
      <c r="AW455" s="23">
        <v>12</v>
      </c>
      <c r="AX455" s="24">
        <v>0</v>
      </c>
      <c r="AY455" s="23">
        <v>12</v>
      </c>
      <c r="AZ455" s="24">
        <v>0</v>
      </c>
      <c r="BA455" s="23">
        <v>12</v>
      </c>
      <c r="BB455" s="24">
        <v>14</v>
      </c>
      <c r="BC455" s="23">
        <v>24</v>
      </c>
      <c r="BD455" s="24">
        <v>14</v>
      </c>
      <c r="BE455" s="23">
        <v>24</v>
      </c>
      <c r="BF455" s="24">
        <v>0</v>
      </c>
      <c r="BG455" s="23">
        <v>12</v>
      </c>
      <c r="BH455" s="24">
        <v>4</v>
      </c>
      <c r="BI455" s="23">
        <v>9</v>
      </c>
      <c r="BJ455" s="24">
        <v>4</v>
      </c>
      <c r="BK455" s="23">
        <v>9</v>
      </c>
      <c r="BL455" s="24">
        <v>0</v>
      </c>
      <c r="BM455" s="20">
        <v>12</v>
      </c>
      <c r="BN455" s="19">
        <v>0</v>
      </c>
      <c r="BO455" s="23">
        <v>12</v>
      </c>
      <c r="BP455" s="24">
        <v>0</v>
      </c>
      <c r="BQ455" s="23">
        <v>12</v>
      </c>
      <c r="BR455" s="24">
        <v>0</v>
      </c>
      <c r="BS455" s="23">
        <v>12</v>
      </c>
      <c r="BT455" s="26">
        <v>0</v>
      </c>
      <c r="BU455" s="23">
        <v>12</v>
      </c>
      <c r="BV455" s="24">
        <v>0</v>
      </c>
      <c r="BW455" s="23">
        <v>12</v>
      </c>
      <c r="BX455" s="24">
        <v>0</v>
      </c>
      <c r="BY455" s="23">
        <v>12</v>
      </c>
      <c r="BZ455" s="24">
        <v>0</v>
      </c>
      <c r="CA455" s="23">
        <v>12</v>
      </c>
      <c r="CB455" s="24">
        <v>0</v>
      </c>
      <c r="CC455" s="23">
        <v>12</v>
      </c>
      <c r="CD455" s="24">
        <v>0</v>
      </c>
      <c r="CE455" s="23">
        <v>12</v>
      </c>
      <c r="CF455" s="24">
        <v>0</v>
      </c>
      <c r="CG455" s="20">
        <v>12</v>
      </c>
    </row>
    <row r="456" spans="1:85" x14ac:dyDescent="0.3">
      <c r="A456" t="s">
        <v>911</v>
      </c>
      <c r="B456">
        <v>21903</v>
      </c>
      <c r="C456" t="s">
        <v>912</v>
      </c>
      <c r="D456" s="19">
        <v>6310</v>
      </c>
      <c r="E456" s="20">
        <v>581</v>
      </c>
      <c r="F456" s="19">
        <v>959</v>
      </c>
      <c r="G456" s="23">
        <v>618</v>
      </c>
      <c r="H456" s="24">
        <v>396</v>
      </c>
      <c r="I456" s="23">
        <v>336</v>
      </c>
      <c r="J456" s="24">
        <v>396</v>
      </c>
      <c r="K456" s="23">
        <v>336</v>
      </c>
      <c r="L456" s="24">
        <v>0</v>
      </c>
      <c r="M456" s="23">
        <v>34</v>
      </c>
      <c r="N456" s="24">
        <v>427</v>
      </c>
      <c r="O456" s="23">
        <v>298</v>
      </c>
      <c r="P456" s="24">
        <v>390</v>
      </c>
      <c r="Q456" s="23">
        <v>290</v>
      </c>
      <c r="R456" s="24">
        <v>37</v>
      </c>
      <c r="S456" s="23">
        <v>60</v>
      </c>
      <c r="T456" s="24">
        <v>136</v>
      </c>
      <c r="U456" s="23">
        <v>119</v>
      </c>
      <c r="V456" s="24">
        <v>88</v>
      </c>
      <c r="W456" s="23">
        <v>78</v>
      </c>
      <c r="X456" s="24">
        <v>48</v>
      </c>
      <c r="Y456" s="20">
        <v>80</v>
      </c>
      <c r="Z456" s="19">
        <v>773</v>
      </c>
      <c r="AA456" s="23">
        <v>370</v>
      </c>
      <c r="AB456" s="24">
        <v>293</v>
      </c>
      <c r="AC456" s="23">
        <v>231</v>
      </c>
      <c r="AD456" s="24">
        <v>293</v>
      </c>
      <c r="AE456" s="23">
        <v>231</v>
      </c>
      <c r="AF456" s="24">
        <v>0</v>
      </c>
      <c r="AG456" s="23">
        <v>17</v>
      </c>
      <c r="AH456" s="24">
        <v>213</v>
      </c>
      <c r="AI456" s="23">
        <v>125</v>
      </c>
      <c r="AJ456" s="24">
        <v>197</v>
      </c>
      <c r="AK456" s="23">
        <v>126</v>
      </c>
      <c r="AL456" s="24">
        <v>16</v>
      </c>
      <c r="AM456" s="23">
        <v>27</v>
      </c>
      <c r="AN456" s="24">
        <v>267</v>
      </c>
      <c r="AO456" s="23">
        <v>131</v>
      </c>
      <c r="AP456" s="24">
        <v>267</v>
      </c>
      <c r="AQ456" s="23">
        <v>131</v>
      </c>
      <c r="AR456" s="24">
        <v>0</v>
      </c>
      <c r="AS456" s="20">
        <v>17</v>
      </c>
      <c r="AT456" s="19">
        <v>1685</v>
      </c>
      <c r="AU456" s="23">
        <v>455</v>
      </c>
      <c r="AV456" s="24">
        <v>400</v>
      </c>
      <c r="AW456" s="23">
        <v>219</v>
      </c>
      <c r="AX456" s="24">
        <v>400</v>
      </c>
      <c r="AY456" s="23">
        <v>219</v>
      </c>
      <c r="AZ456" s="24">
        <v>0</v>
      </c>
      <c r="BA456" s="23">
        <v>17</v>
      </c>
      <c r="BB456" s="24">
        <v>1010</v>
      </c>
      <c r="BC456" s="23">
        <v>315</v>
      </c>
      <c r="BD456" s="24">
        <v>950</v>
      </c>
      <c r="BE456" s="23">
        <v>322</v>
      </c>
      <c r="BF456" s="24">
        <v>60</v>
      </c>
      <c r="BG456" s="23">
        <v>72</v>
      </c>
      <c r="BH456" s="24">
        <v>275</v>
      </c>
      <c r="BI456" s="23">
        <v>123</v>
      </c>
      <c r="BJ456" s="24">
        <v>275</v>
      </c>
      <c r="BK456" s="23">
        <v>123</v>
      </c>
      <c r="BL456" s="24">
        <v>0</v>
      </c>
      <c r="BM456" s="20">
        <v>17</v>
      </c>
      <c r="BN456" s="19">
        <v>2893</v>
      </c>
      <c r="BO456" s="23">
        <v>470</v>
      </c>
      <c r="BP456" s="24">
        <v>392</v>
      </c>
      <c r="BQ456" s="23">
        <v>150</v>
      </c>
      <c r="BR456" s="24">
        <v>392</v>
      </c>
      <c r="BS456" s="23">
        <v>150</v>
      </c>
      <c r="BT456" s="26">
        <v>0</v>
      </c>
      <c r="BU456" s="23">
        <v>17</v>
      </c>
      <c r="BV456" s="24">
        <v>2093</v>
      </c>
      <c r="BW456" s="23">
        <v>364</v>
      </c>
      <c r="BX456" s="24">
        <v>2038</v>
      </c>
      <c r="BY456" s="23">
        <v>363</v>
      </c>
      <c r="BZ456" s="24">
        <v>55</v>
      </c>
      <c r="CA456" s="23">
        <v>68</v>
      </c>
      <c r="CB456" s="24">
        <v>408</v>
      </c>
      <c r="CC456" s="23">
        <v>202</v>
      </c>
      <c r="CD456" s="24">
        <v>408</v>
      </c>
      <c r="CE456" s="23">
        <v>202</v>
      </c>
      <c r="CF456" s="24">
        <v>0</v>
      </c>
      <c r="CG456" s="20">
        <v>17</v>
      </c>
    </row>
    <row r="457" spans="1:85" x14ac:dyDescent="0.3">
      <c r="A457" t="s">
        <v>913</v>
      </c>
      <c r="B457">
        <v>21904</v>
      </c>
      <c r="C457" t="s">
        <v>914</v>
      </c>
      <c r="D457" s="19">
        <v>7197</v>
      </c>
      <c r="E457" s="20">
        <v>739</v>
      </c>
      <c r="F457" s="19">
        <v>1016</v>
      </c>
      <c r="G457" s="23">
        <v>519</v>
      </c>
      <c r="H457" s="24">
        <v>281</v>
      </c>
      <c r="I457" s="23">
        <v>239</v>
      </c>
      <c r="J457" s="24">
        <v>247</v>
      </c>
      <c r="K457" s="23">
        <v>224</v>
      </c>
      <c r="L457" s="24">
        <v>34</v>
      </c>
      <c r="M457" s="23">
        <v>76</v>
      </c>
      <c r="N457" s="24">
        <v>620</v>
      </c>
      <c r="O457" s="23">
        <v>355</v>
      </c>
      <c r="P457" s="24">
        <v>582</v>
      </c>
      <c r="Q457" s="23">
        <v>348</v>
      </c>
      <c r="R457" s="24">
        <v>38</v>
      </c>
      <c r="S457" s="23">
        <v>41</v>
      </c>
      <c r="T457" s="24">
        <v>115</v>
      </c>
      <c r="U457" s="23">
        <v>96</v>
      </c>
      <c r="V457" s="24">
        <v>113</v>
      </c>
      <c r="W457" s="23">
        <v>96</v>
      </c>
      <c r="X457" s="24">
        <v>2</v>
      </c>
      <c r="Y457" s="20">
        <v>20</v>
      </c>
      <c r="Z457" s="19">
        <v>374</v>
      </c>
      <c r="AA457" s="23">
        <v>181</v>
      </c>
      <c r="AB457" s="24">
        <v>84</v>
      </c>
      <c r="AC457" s="23">
        <v>75</v>
      </c>
      <c r="AD457" s="24">
        <v>84</v>
      </c>
      <c r="AE457" s="23">
        <v>75</v>
      </c>
      <c r="AF457" s="24">
        <v>0</v>
      </c>
      <c r="AG457" s="23">
        <v>17</v>
      </c>
      <c r="AH457" s="24">
        <v>133</v>
      </c>
      <c r="AI457" s="23">
        <v>80</v>
      </c>
      <c r="AJ457" s="24">
        <v>120</v>
      </c>
      <c r="AK457" s="23">
        <v>79</v>
      </c>
      <c r="AL457" s="24">
        <v>13</v>
      </c>
      <c r="AM457" s="23">
        <v>13</v>
      </c>
      <c r="AN457" s="24">
        <v>157</v>
      </c>
      <c r="AO457" s="23">
        <v>80</v>
      </c>
      <c r="AP457" s="24">
        <v>157</v>
      </c>
      <c r="AQ457" s="23">
        <v>80</v>
      </c>
      <c r="AR457" s="24">
        <v>0</v>
      </c>
      <c r="AS457" s="20">
        <v>17</v>
      </c>
      <c r="AT457" s="19">
        <v>1936</v>
      </c>
      <c r="AU457" s="23">
        <v>606</v>
      </c>
      <c r="AV457" s="24">
        <v>496</v>
      </c>
      <c r="AW457" s="23">
        <v>213</v>
      </c>
      <c r="AX457" s="24">
        <v>496</v>
      </c>
      <c r="AY457" s="23">
        <v>213</v>
      </c>
      <c r="AZ457" s="24">
        <v>0</v>
      </c>
      <c r="BA457" s="23">
        <v>17</v>
      </c>
      <c r="BB457" s="24">
        <v>1136</v>
      </c>
      <c r="BC457" s="23">
        <v>415</v>
      </c>
      <c r="BD457" s="24">
        <v>1096</v>
      </c>
      <c r="BE457" s="23">
        <v>405</v>
      </c>
      <c r="BF457" s="24">
        <v>40</v>
      </c>
      <c r="BG457" s="23">
        <v>47</v>
      </c>
      <c r="BH457" s="24">
        <v>304</v>
      </c>
      <c r="BI457" s="23">
        <v>122</v>
      </c>
      <c r="BJ457" s="24">
        <v>301</v>
      </c>
      <c r="BK457" s="23">
        <v>121</v>
      </c>
      <c r="BL457" s="24">
        <v>3</v>
      </c>
      <c r="BM457" s="20">
        <v>5</v>
      </c>
      <c r="BN457" s="19">
        <v>3871</v>
      </c>
      <c r="BO457" s="23">
        <v>579</v>
      </c>
      <c r="BP457" s="24">
        <v>773</v>
      </c>
      <c r="BQ457" s="23">
        <v>214</v>
      </c>
      <c r="BR457" s="24">
        <v>773</v>
      </c>
      <c r="BS457" s="23">
        <v>214</v>
      </c>
      <c r="BT457" s="26">
        <v>0</v>
      </c>
      <c r="BU457" s="23">
        <v>17</v>
      </c>
      <c r="BV457" s="24">
        <v>2582</v>
      </c>
      <c r="BW457" s="23">
        <v>435</v>
      </c>
      <c r="BX457" s="24">
        <v>2433</v>
      </c>
      <c r="BY457" s="23">
        <v>425</v>
      </c>
      <c r="BZ457" s="24">
        <v>149</v>
      </c>
      <c r="CA457" s="23">
        <v>93</v>
      </c>
      <c r="CB457" s="24">
        <v>516</v>
      </c>
      <c r="CC457" s="23">
        <v>142</v>
      </c>
      <c r="CD457" s="24">
        <v>516</v>
      </c>
      <c r="CE457" s="23">
        <v>142</v>
      </c>
      <c r="CF457" s="24">
        <v>0</v>
      </c>
      <c r="CG457" s="20">
        <v>17</v>
      </c>
    </row>
    <row r="458" spans="1:85" x14ac:dyDescent="0.3">
      <c r="A458" t="s">
        <v>915</v>
      </c>
      <c r="B458">
        <v>21911</v>
      </c>
      <c r="C458" t="s">
        <v>916</v>
      </c>
      <c r="D458" s="19">
        <v>11213</v>
      </c>
      <c r="E458" s="20">
        <v>735</v>
      </c>
      <c r="F458" s="19">
        <v>1305</v>
      </c>
      <c r="G458" s="23">
        <v>519</v>
      </c>
      <c r="H458" s="24">
        <v>465</v>
      </c>
      <c r="I458" s="23">
        <v>277</v>
      </c>
      <c r="J458" s="24">
        <v>465</v>
      </c>
      <c r="K458" s="23">
        <v>277</v>
      </c>
      <c r="L458" s="24">
        <v>0</v>
      </c>
      <c r="M458" s="23">
        <v>38</v>
      </c>
      <c r="N458" s="24">
        <v>699</v>
      </c>
      <c r="O458" s="23">
        <v>266</v>
      </c>
      <c r="P458" s="24">
        <v>505</v>
      </c>
      <c r="Q458" s="23">
        <v>208</v>
      </c>
      <c r="R458" s="24">
        <v>194</v>
      </c>
      <c r="S458" s="23">
        <v>142</v>
      </c>
      <c r="T458" s="24">
        <v>141</v>
      </c>
      <c r="U458" s="23">
        <v>95</v>
      </c>
      <c r="V458" s="24">
        <v>141</v>
      </c>
      <c r="W458" s="23">
        <v>95</v>
      </c>
      <c r="X458" s="24">
        <v>0</v>
      </c>
      <c r="Y458" s="20">
        <v>38</v>
      </c>
      <c r="Z458" s="19">
        <v>1163</v>
      </c>
      <c r="AA458" s="23">
        <v>338</v>
      </c>
      <c r="AB458" s="24">
        <v>483</v>
      </c>
      <c r="AC458" s="23">
        <v>181</v>
      </c>
      <c r="AD458" s="24">
        <v>483</v>
      </c>
      <c r="AE458" s="23">
        <v>181</v>
      </c>
      <c r="AF458" s="24">
        <v>0</v>
      </c>
      <c r="AG458" s="23">
        <v>19</v>
      </c>
      <c r="AH458" s="24">
        <v>525</v>
      </c>
      <c r="AI458" s="23">
        <v>164</v>
      </c>
      <c r="AJ458" s="24">
        <v>404</v>
      </c>
      <c r="AK458" s="23">
        <v>137</v>
      </c>
      <c r="AL458" s="24">
        <v>121</v>
      </c>
      <c r="AM458" s="23">
        <v>101</v>
      </c>
      <c r="AN458" s="24">
        <v>155</v>
      </c>
      <c r="AO458" s="23">
        <v>70</v>
      </c>
      <c r="AP458" s="24">
        <v>155</v>
      </c>
      <c r="AQ458" s="23">
        <v>70</v>
      </c>
      <c r="AR458" s="24">
        <v>0</v>
      </c>
      <c r="AS458" s="20">
        <v>19</v>
      </c>
      <c r="AT458" s="19">
        <v>3318</v>
      </c>
      <c r="AU458" s="23">
        <v>547</v>
      </c>
      <c r="AV458" s="24">
        <v>1043</v>
      </c>
      <c r="AW458" s="23">
        <v>266</v>
      </c>
      <c r="AX458" s="24">
        <v>1027</v>
      </c>
      <c r="AY458" s="23">
        <v>267</v>
      </c>
      <c r="AZ458" s="24">
        <v>16</v>
      </c>
      <c r="BA458" s="23">
        <v>24</v>
      </c>
      <c r="BB458" s="24">
        <v>1708</v>
      </c>
      <c r="BC458" s="23">
        <v>292</v>
      </c>
      <c r="BD458" s="24">
        <v>1548</v>
      </c>
      <c r="BE458" s="23">
        <v>296</v>
      </c>
      <c r="BF458" s="24">
        <v>160</v>
      </c>
      <c r="BG458" s="23">
        <v>98</v>
      </c>
      <c r="BH458" s="24">
        <v>567</v>
      </c>
      <c r="BI458" s="23">
        <v>164</v>
      </c>
      <c r="BJ458" s="24">
        <v>567</v>
      </c>
      <c r="BK458" s="23">
        <v>164</v>
      </c>
      <c r="BL458" s="24">
        <v>0</v>
      </c>
      <c r="BM458" s="20">
        <v>19</v>
      </c>
      <c r="BN458" s="19">
        <v>5427</v>
      </c>
      <c r="BO458" s="23">
        <v>644</v>
      </c>
      <c r="BP458" s="24">
        <v>1288</v>
      </c>
      <c r="BQ458" s="23">
        <v>315</v>
      </c>
      <c r="BR458" s="24">
        <v>1288</v>
      </c>
      <c r="BS458" s="23">
        <v>315</v>
      </c>
      <c r="BT458" s="26">
        <v>0</v>
      </c>
      <c r="BU458" s="23">
        <v>19</v>
      </c>
      <c r="BV458" s="24">
        <v>3658</v>
      </c>
      <c r="BW458" s="23">
        <v>475</v>
      </c>
      <c r="BX458" s="24">
        <v>3593</v>
      </c>
      <c r="BY458" s="23">
        <v>467</v>
      </c>
      <c r="BZ458" s="24">
        <v>65</v>
      </c>
      <c r="CA458" s="23">
        <v>49</v>
      </c>
      <c r="CB458" s="24">
        <v>481</v>
      </c>
      <c r="CC458" s="23">
        <v>128</v>
      </c>
      <c r="CD458" s="24">
        <v>481</v>
      </c>
      <c r="CE458" s="23">
        <v>128</v>
      </c>
      <c r="CF458" s="24">
        <v>0</v>
      </c>
      <c r="CG458" s="20">
        <v>19</v>
      </c>
    </row>
    <row r="459" spans="1:85" x14ac:dyDescent="0.3">
      <c r="A459" t="s">
        <v>917</v>
      </c>
      <c r="B459">
        <v>21912</v>
      </c>
      <c r="C459" t="s">
        <v>918</v>
      </c>
      <c r="D459" s="19">
        <v>1021</v>
      </c>
      <c r="E459" s="20">
        <v>336</v>
      </c>
      <c r="F459" s="19">
        <v>14</v>
      </c>
      <c r="G459" s="23">
        <v>33</v>
      </c>
      <c r="H459" s="24">
        <v>0</v>
      </c>
      <c r="I459" s="23">
        <v>22</v>
      </c>
      <c r="J459" s="24">
        <v>0</v>
      </c>
      <c r="K459" s="23">
        <v>22</v>
      </c>
      <c r="L459" s="24">
        <v>0</v>
      </c>
      <c r="M459" s="23">
        <v>22</v>
      </c>
      <c r="N459" s="24">
        <v>0</v>
      </c>
      <c r="O459" s="23">
        <v>22</v>
      </c>
      <c r="P459" s="24">
        <v>0</v>
      </c>
      <c r="Q459" s="23">
        <v>22</v>
      </c>
      <c r="R459" s="24">
        <v>0</v>
      </c>
      <c r="S459" s="23">
        <v>22</v>
      </c>
      <c r="T459" s="24">
        <v>14</v>
      </c>
      <c r="U459" s="23">
        <v>33</v>
      </c>
      <c r="V459" s="24">
        <v>14</v>
      </c>
      <c r="W459" s="23">
        <v>33</v>
      </c>
      <c r="X459" s="24">
        <v>0</v>
      </c>
      <c r="Y459" s="20">
        <v>22</v>
      </c>
      <c r="Z459" s="19">
        <v>193</v>
      </c>
      <c r="AA459" s="23">
        <v>183</v>
      </c>
      <c r="AB459" s="24">
        <v>93</v>
      </c>
      <c r="AC459" s="23">
        <v>121</v>
      </c>
      <c r="AD459" s="24">
        <v>93</v>
      </c>
      <c r="AE459" s="23">
        <v>121</v>
      </c>
      <c r="AF459" s="24">
        <v>0</v>
      </c>
      <c r="AG459" s="23">
        <v>11</v>
      </c>
      <c r="AH459" s="24">
        <v>74</v>
      </c>
      <c r="AI459" s="23">
        <v>62</v>
      </c>
      <c r="AJ459" s="24">
        <v>74</v>
      </c>
      <c r="AK459" s="23">
        <v>62</v>
      </c>
      <c r="AL459" s="24">
        <v>0</v>
      </c>
      <c r="AM459" s="23">
        <v>11</v>
      </c>
      <c r="AN459" s="24">
        <v>26</v>
      </c>
      <c r="AO459" s="23">
        <v>40</v>
      </c>
      <c r="AP459" s="24">
        <v>26</v>
      </c>
      <c r="AQ459" s="23">
        <v>40</v>
      </c>
      <c r="AR459" s="24">
        <v>0</v>
      </c>
      <c r="AS459" s="20">
        <v>11</v>
      </c>
      <c r="AT459" s="19">
        <v>381</v>
      </c>
      <c r="AU459" s="23">
        <v>296</v>
      </c>
      <c r="AV459" s="24">
        <v>45</v>
      </c>
      <c r="AW459" s="23">
        <v>69</v>
      </c>
      <c r="AX459" s="24">
        <v>45</v>
      </c>
      <c r="AY459" s="23">
        <v>69</v>
      </c>
      <c r="AZ459" s="24">
        <v>0</v>
      </c>
      <c r="BA459" s="23">
        <v>11</v>
      </c>
      <c r="BB459" s="24">
        <v>336</v>
      </c>
      <c r="BC459" s="23">
        <v>282</v>
      </c>
      <c r="BD459" s="24">
        <v>236</v>
      </c>
      <c r="BE459" s="23">
        <v>202</v>
      </c>
      <c r="BF459" s="24">
        <v>100</v>
      </c>
      <c r="BG459" s="23">
        <v>104</v>
      </c>
      <c r="BH459" s="24">
        <v>0</v>
      </c>
      <c r="BI459" s="23">
        <v>11</v>
      </c>
      <c r="BJ459" s="24">
        <v>0</v>
      </c>
      <c r="BK459" s="23">
        <v>11</v>
      </c>
      <c r="BL459" s="24">
        <v>0</v>
      </c>
      <c r="BM459" s="20">
        <v>11</v>
      </c>
      <c r="BN459" s="19">
        <v>433</v>
      </c>
      <c r="BO459" s="23">
        <v>233</v>
      </c>
      <c r="BP459" s="24">
        <v>88</v>
      </c>
      <c r="BQ459" s="23">
        <v>90</v>
      </c>
      <c r="BR459" s="24">
        <v>88</v>
      </c>
      <c r="BS459" s="23">
        <v>90</v>
      </c>
      <c r="BT459" s="26">
        <v>0</v>
      </c>
      <c r="BU459" s="23">
        <v>11</v>
      </c>
      <c r="BV459" s="24">
        <v>286</v>
      </c>
      <c r="BW459" s="23">
        <v>161</v>
      </c>
      <c r="BX459" s="24">
        <v>266</v>
      </c>
      <c r="BY459" s="23">
        <v>151</v>
      </c>
      <c r="BZ459" s="24">
        <v>20</v>
      </c>
      <c r="CA459" s="23">
        <v>30</v>
      </c>
      <c r="CB459" s="24">
        <v>59</v>
      </c>
      <c r="CC459" s="23">
        <v>57</v>
      </c>
      <c r="CD459" s="24">
        <v>59</v>
      </c>
      <c r="CE459" s="23">
        <v>57</v>
      </c>
      <c r="CF459" s="24">
        <v>0</v>
      </c>
      <c r="CG459" s="20">
        <v>11</v>
      </c>
    </row>
    <row r="460" spans="1:85" x14ac:dyDescent="0.3">
      <c r="A460" t="s">
        <v>919</v>
      </c>
      <c r="B460">
        <v>21913</v>
      </c>
      <c r="C460" t="s">
        <v>920</v>
      </c>
      <c r="D460" s="19">
        <v>887</v>
      </c>
      <c r="E460" s="20">
        <v>244</v>
      </c>
      <c r="F460" s="19">
        <v>216</v>
      </c>
      <c r="G460" s="23">
        <v>224</v>
      </c>
      <c r="H460" s="24">
        <v>19</v>
      </c>
      <c r="I460" s="23">
        <v>27</v>
      </c>
      <c r="J460" s="24">
        <v>19</v>
      </c>
      <c r="K460" s="23">
        <v>27</v>
      </c>
      <c r="L460" s="24">
        <v>0</v>
      </c>
      <c r="M460" s="23">
        <v>24</v>
      </c>
      <c r="N460" s="24">
        <v>175</v>
      </c>
      <c r="O460" s="23">
        <v>216</v>
      </c>
      <c r="P460" s="24">
        <v>149</v>
      </c>
      <c r="Q460" s="23">
        <v>205</v>
      </c>
      <c r="R460" s="24">
        <v>26</v>
      </c>
      <c r="S460" s="23">
        <v>39</v>
      </c>
      <c r="T460" s="24">
        <v>22</v>
      </c>
      <c r="U460" s="23">
        <v>29</v>
      </c>
      <c r="V460" s="24">
        <v>22</v>
      </c>
      <c r="W460" s="23">
        <v>29</v>
      </c>
      <c r="X460" s="24">
        <v>0</v>
      </c>
      <c r="Y460" s="20">
        <v>24</v>
      </c>
      <c r="Z460" s="19">
        <v>113</v>
      </c>
      <c r="AA460" s="23">
        <v>101</v>
      </c>
      <c r="AB460" s="24">
        <v>40</v>
      </c>
      <c r="AC460" s="23">
        <v>47</v>
      </c>
      <c r="AD460" s="24">
        <v>40</v>
      </c>
      <c r="AE460" s="23">
        <v>47</v>
      </c>
      <c r="AF460" s="24">
        <v>0</v>
      </c>
      <c r="AG460" s="23">
        <v>12</v>
      </c>
      <c r="AH460" s="24">
        <v>66</v>
      </c>
      <c r="AI460" s="23">
        <v>60</v>
      </c>
      <c r="AJ460" s="24">
        <v>45</v>
      </c>
      <c r="AK460" s="23">
        <v>46</v>
      </c>
      <c r="AL460" s="24">
        <v>21</v>
      </c>
      <c r="AM460" s="23">
        <v>36</v>
      </c>
      <c r="AN460" s="24">
        <v>7</v>
      </c>
      <c r="AO460" s="23">
        <v>11</v>
      </c>
      <c r="AP460" s="24">
        <v>7</v>
      </c>
      <c r="AQ460" s="23">
        <v>11</v>
      </c>
      <c r="AR460" s="24">
        <v>0</v>
      </c>
      <c r="AS460" s="20">
        <v>12</v>
      </c>
      <c r="AT460" s="19">
        <v>355</v>
      </c>
      <c r="AU460" s="23">
        <v>140</v>
      </c>
      <c r="AV460" s="24">
        <v>86</v>
      </c>
      <c r="AW460" s="23">
        <v>62</v>
      </c>
      <c r="AX460" s="24">
        <v>86</v>
      </c>
      <c r="AY460" s="23">
        <v>62</v>
      </c>
      <c r="AZ460" s="24">
        <v>0</v>
      </c>
      <c r="BA460" s="23">
        <v>12</v>
      </c>
      <c r="BB460" s="24">
        <v>216</v>
      </c>
      <c r="BC460" s="23">
        <v>92</v>
      </c>
      <c r="BD460" s="24">
        <v>193</v>
      </c>
      <c r="BE460" s="23">
        <v>92</v>
      </c>
      <c r="BF460" s="24">
        <v>23</v>
      </c>
      <c r="BG460" s="23">
        <v>29</v>
      </c>
      <c r="BH460" s="24">
        <v>53</v>
      </c>
      <c r="BI460" s="23">
        <v>40</v>
      </c>
      <c r="BJ460" s="24">
        <v>53</v>
      </c>
      <c r="BK460" s="23">
        <v>40</v>
      </c>
      <c r="BL460" s="24">
        <v>0</v>
      </c>
      <c r="BM460" s="20">
        <v>12</v>
      </c>
      <c r="BN460" s="19">
        <v>203</v>
      </c>
      <c r="BO460" s="23">
        <v>100</v>
      </c>
      <c r="BP460" s="24">
        <v>32</v>
      </c>
      <c r="BQ460" s="23">
        <v>34</v>
      </c>
      <c r="BR460" s="24">
        <v>32</v>
      </c>
      <c r="BS460" s="23">
        <v>34</v>
      </c>
      <c r="BT460" s="26">
        <v>0</v>
      </c>
      <c r="BU460" s="23">
        <v>12</v>
      </c>
      <c r="BV460" s="24">
        <v>155</v>
      </c>
      <c r="BW460" s="23">
        <v>78</v>
      </c>
      <c r="BX460" s="24">
        <v>155</v>
      </c>
      <c r="BY460" s="23">
        <v>78</v>
      </c>
      <c r="BZ460" s="24">
        <v>0</v>
      </c>
      <c r="CA460" s="23">
        <v>12</v>
      </c>
      <c r="CB460" s="24">
        <v>16</v>
      </c>
      <c r="CC460" s="23">
        <v>18</v>
      </c>
      <c r="CD460" s="24">
        <v>16</v>
      </c>
      <c r="CE460" s="23">
        <v>18</v>
      </c>
      <c r="CF460" s="24">
        <v>0</v>
      </c>
      <c r="CG460" s="20">
        <v>12</v>
      </c>
    </row>
    <row r="461" spans="1:85" x14ac:dyDescent="0.3">
      <c r="A461" t="s">
        <v>921</v>
      </c>
      <c r="B461">
        <v>21914</v>
      </c>
      <c r="C461" t="s">
        <v>922</v>
      </c>
      <c r="D461" s="19">
        <v>739</v>
      </c>
      <c r="E461" s="20">
        <v>221</v>
      </c>
      <c r="F461" s="19">
        <v>241</v>
      </c>
      <c r="G461" s="23">
        <v>182</v>
      </c>
      <c r="H461" s="24">
        <v>96</v>
      </c>
      <c r="I461" s="23">
        <v>114</v>
      </c>
      <c r="J461" s="24">
        <v>96</v>
      </c>
      <c r="K461" s="23">
        <v>114</v>
      </c>
      <c r="L461" s="24">
        <v>0</v>
      </c>
      <c r="M461" s="23">
        <v>24</v>
      </c>
      <c r="N461" s="24">
        <v>129</v>
      </c>
      <c r="O461" s="23">
        <v>98</v>
      </c>
      <c r="P461" s="24">
        <v>121</v>
      </c>
      <c r="Q461" s="23">
        <v>96</v>
      </c>
      <c r="R461" s="24">
        <v>8</v>
      </c>
      <c r="S461" s="23">
        <v>27</v>
      </c>
      <c r="T461" s="24">
        <v>16</v>
      </c>
      <c r="U461" s="23">
        <v>27</v>
      </c>
      <c r="V461" s="24">
        <v>16</v>
      </c>
      <c r="W461" s="23">
        <v>27</v>
      </c>
      <c r="X461" s="24">
        <v>0</v>
      </c>
      <c r="Y461" s="20">
        <v>24</v>
      </c>
      <c r="Z461" s="19">
        <v>32</v>
      </c>
      <c r="AA461" s="23">
        <v>43</v>
      </c>
      <c r="AB461" s="24">
        <v>0</v>
      </c>
      <c r="AC461" s="23">
        <v>12</v>
      </c>
      <c r="AD461" s="24">
        <v>0</v>
      </c>
      <c r="AE461" s="23">
        <v>12</v>
      </c>
      <c r="AF461" s="24">
        <v>0</v>
      </c>
      <c r="AG461" s="23">
        <v>12</v>
      </c>
      <c r="AH461" s="24">
        <v>10</v>
      </c>
      <c r="AI461" s="23">
        <v>18</v>
      </c>
      <c r="AJ461" s="24">
        <v>10</v>
      </c>
      <c r="AK461" s="23">
        <v>18</v>
      </c>
      <c r="AL461" s="24">
        <v>0</v>
      </c>
      <c r="AM461" s="23">
        <v>12</v>
      </c>
      <c r="AN461" s="24">
        <v>22</v>
      </c>
      <c r="AO461" s="23">
        <v>27</v>
      </c>
      <c r="AP461" s="24">
        <v>22</v>
      </c>
      <c r="AQ461" s="23">
        <v>27</v>
      </c>
      <c r="AR461" s="24">
        <v>0</v>
      </c>
      <c r="AS461" s="20">
        <v>12</v>
      </c>
      <c r="AT461" s="19">
        <v>127</v>
      </c>
      <c r="AU461" s="23">
        <v>69</v>
      </c>
      <c r="AV461" s="24">
        <v>36</v>
      </c>
      <c r="AW461" s="23">
        <v>31</v>
      </c>
      <c r="AX461" s="24">
        <v>36</v>
      </c>
      <c r="AY461" s="23">
        <v>31</v>
      </c>
      <c r="AZ461" s="24">
        <v>0</v>
      </c>
      <c r="BA461" s="23">
        <v>12</v>
      </c>
      <c r="BB461" s="24">
        <v>82</v>
      </c>
      <c r="BC461" s="23">
        <v>51</v>
      </c>
      <c r="BD461" s="24">
        <v>69</v>
      </c>
      <c r="BE461" s="23">
        <v>46</v>
      </c>
      <c r="BF461" s="24">
        <v>13</v>
      </c>
      <c r="BG461" s="23">
        <v>17</v>
      </c>
      <c r="BH461" s="24">
        <v>9</v>
      </c>
      <c r="BI461" s="23">
        <v>10</v>
      </c>
      <c r="BJ461" s="24">
        <v>9</v>
      </c>
      <c r="BK461" s="23">
        <v>10</v>
      </c>
      <c r="BL461" s="24">
        <v>0</v>
      </c>
      <c r="BM461" s="20">
        <v>12</v>
      </c>
      <c r="BN461" s="19">
        <v>339</v>
      </c>
      <c r="BO461" s="23">
        <v>141</v>
      </c>
      <c r="BP461" s="24">
        <v>24</v>
      </c>
      <c r="BQ461" s="23">
        <v>32</v>
      </c>
      <c r="BR461" s="24">
        <v>24</v>
      </c>
      <c r="BS461" s="23">
        <v>32</v>
      </c>
      <c r="BT461" s="26">
        <v>0</v>
      </c>
      <c r="BU461" s="23">
        <v>12</v>
      </c>
      <c r="BV461" s="24">
        <v>267</v>
      </c>
      <c r="BW461" s="23">
        <v>114</v>
      </c>
      <c r="BX461" s="24">
        <v>245</v>
      </c>
      <c r="BY461" s="23">
        <v>116</v>
      </c>
      <c r="BZ461" s="24">
        <v>22</v>
      </c>
      <c r="CA461" s="23">
        <v>27</v>
      </c>
      <c r="CB461" s="24">
        <v>48</v>
      </c>
      <c r="CC461" s="23">
        <v>41</v>
      </c>
      <c r="CD461" s="24">
        <v>48</v>
      </c>
      <c r="CE461" s="23">
        <v>41</v>
      </c>
      <c r="CF461" s="24">
        <v>0</v>
      </c>
      <c r="CG461" s="20">
        <v>12</v>
      </c>
    </row>
    <row r="462" spans="1:85" x14ac:dyDescent="0.3">
      <c r="A462" t="s">
        <v>923</v>
      </c>
      <c r="B462">
        <v>21915</v>
      </c>
      <c r="C462" t="s">
        <v>924</v>
      </c>
      <c r="D462" s="19">
        <v>2664</v>
      </c>
      <c r="E462" s="20">
        <v>463</v>
      </c>
      <c r="F462" s="19">
        <v>251</v>
      </c>
      <c r="G462" s="23">
        <v>216</v>
      </c>
      <c r="H462" s="24">
        <v>53</v>
      </c>
      <c r="I462" s="23">
        <v>86</v>
      </c>
      <c r="J462" s="24">
        <v>51</v>
      </c>
      <c r="K462" s="23">
        <v>85</v>
      </c>
      <c r="L462" s="24">
        <v>2</v>
      </c>
      <c r="M462" s="23">
        <v>16</v>
      </c>
      <c r="N462" s="24">
        <v>132</v>
      </c>
      <c r="O462" s="23">
        <v>118</v>
      </c>
      <c r="P462" s="24">
        <v>110</v>
      </c>
      <c r="Q462" s="23">
        <v>114</v>
      </c>
      <c r="R462" s="24">
        <v>22</v>
      </c>
      <c r="S462" s="23">
        <v>34</v>
      </c>
      <c r="T462" s="24">
        <v>66</v>
      </c>
      <c r="U462" s="23">
        <v>47</v>
      </c>
      <c r="V462" s="24">
        <v>66</v>
      </c>
      <c r="W462" s="23">
        <v>47</v>
      </c>
      <c r="X462" s="24">
        <v>0</v>
      </c>
      <c r="Y462" s="20">
        <v>24</v>
      </c>
      <c r="Z462" s="19">
        <v>87</v>
      </c>
      <c r="AA462" s="23">
        <v>64</v>
      </c>
      <c r="AB462" s="24">
        <v>10</v>
      </c>
      <c r="AC462" s="23">
        <v>18</v>
      </c>
      <c r="AD462" s="24">
        <v>4</v>
      </c>
      <c r="AE462" s="23">
        <v>7</v>
      </c>
      <c r="AF462" s="24">
        <v>6</v>
      </c>
      <c r="AG462" s="23">
        <v>11</v>
      </c>
      <c r="AH462" s="24">
        <v>56</v>
      </c>
      <c r="AI462" s="23">
        <v>58</v>
      </c>
      <c r="AJ462" s="24">
        <v>5</v>
      </c>
      <c r="AK462" s="23">
        <v>7</v>
      </c>
      <c r="AL462" s="24">
        <v>51</v>
      </c>
      <c r="AM462" s="23">
        <v>58</v>
      </c>
      <c r="AN462" s="24">
        <v>21</v>
      </c>
      <c r="AO462" s="23">
        <v>16</v>
      </c>
      <c r="AP462" s="24">
        <v>21</v>
      </c>
      <c r="AQ462" s="23">
        <v>16</v>
      </c>
      <c r="AR462" s="24">
        <v>0</v>
      </c>
      <c r="AS462" s="20">
        <v>12</v>
      </c>
      <c r="AT462" s="19">
        <v>1077</v>
      </c>
      <c r="AU462" s="23">
        <v>492</v>
      </c>
      <c r="AV462" s="24">
        <v>418</v>
      </c>
      <c r="AW462" s="23">
        <v>237</v>
      </c>
      <c r="AX462" s="24">
        <v>413</v>
      </c>
      <c r="AY462" s="23">
        <v>236</v>
      </c>
      <c r="AZ462" s="24">
        <v>5</v>
      </c>
      <c r="BA462" s="23">
        <v>9</v>
      </c>
      <c r="BB462" s="24">
        <v>568</v>
      </c>
      <c r="BC462" s="23">
        <v>265</v>
      </c>
      <c r="BD462" s="24">
        <v>470</v>
      </c>
      <c r="BE462" s="23">
        <v>230</v>
      </c>
      <c r="BF462" s="24">
        <v>98</v>
      </c>
      <c r="BG462" s="23">
        <v>124</v>
      </c>
      <c r="BH462" s="24">
        <v>91</v>
      </c>
      <c r="BI462" s="23">
        <v>71</v>
      </c>
      <c r="BJ462" s="24">
        <v>91</v>
      </c>
      <c r="BK462" s="23">
        <v>71</v>
      </c>
      <c r="BL462" s="24">
        <v>0</v>
      </c>
      <c r="BM462" s="20">
        <v>12</v>
      </c>
      <c r="BN462" s="19">
        <v>1249</v>
      </c>
      <c r="BO462" s="23">
        <v>353</v>
      </c>
      <c r="BP462" s="24">
        <v>123</v>
      </c>
      <c r="BQ462" s="23">
        <v>101</v>
      </c>
      <c r="BR462" s="24">
        <v>123</v>
      </c>
      <c r="BS462" s="23">
        <v>101</v>
      </c>
      <c r="BT462" s="26">
        <v>0</v>
      </c>
      <c r="BU462" s="23">
        <v>12</v>
      </c>
      <c r="BV462" s="24">
        <v>896</v>
      </c>
      <c r="BW462" s="23">
        <v>251</v>
      </c>
      <c r="BX462" s="24">
        <v>894</v>
      </c>
      <c r="BY462" s="23">
        <v>251</v>
      </c>
      <c r="BZ462" s="24">
        <v>2</v>
      </c>
      <c r="CA462" s="23">
        <v>3</v>
      </c>
      <c r="CB462" s="24">
        <v>230</v>
      </c>
      <c r="CC462" s="23">
        <v>118</v>
      </c>
      <c r="CD462" s="24">
        <v>230</v>
      </c>
      <c r="CE462" s="23">
        <v>118</v>
      </c>
      <c r="CF462" s="24">
        <v>0</v>
      </c>
      <c r="CG462" s="20">
        <v>12</v>
      </c>
    </row>
    <row r="463" spans="1:85" x14ac:dyDescent="0.3">
      <c r="A463" t="s">
        <v>925</v>
      </c>
      <c r="B463">
        <v>21916</v>
      </c>
      <c r="C463" t="s">
        <v>926</v>
      </c>
      <c r="D463" s="19">
        <v>42</v>
      </c>
      <c r="E463" s="20">
        <v>58</v>
      </c>
      <c r="F463" s="19">
        <v>40</v>
      </c>
      <c r="G463" s="23">
        <v>63</v>
      </c>
      <c r="H463" s="24">
        <v>0</v>
      </c>
      <c r="I463" s="23">
        <v>24</v>
      </c>
      <c r="J463" s="24">
        <v>0</v>
      </c>
      <c r="K463" s="23">
        <v>24</v>
      </c>
      <c r="L463" s="24">
        <v>0</v>
      </c>
      <c r="M463" s="23">
        <v>24</v>
      </c>
      <c r="N463" s="24">
        <v>4</v>
      </c>
      <c r="O463" s="23">
        <v>19</v>
      </c>
      <c r="P463" s="24">
        <v>4</v>
      </c>
      <c r="Q463" s="23">
        <v>19</v>
      </c>
      <c r="R463" s="24">
        <v>0</v>
      </c>
      <c r="S463" s="23">
        <v>24</v>
      </c>
      <c r="T463" s="24">
        <v>36</v>
      </c>
      <c r="U463" s="23">
        <v>62</v>
      </c>
      <c r="V463" s="24">
        <v>36</v>
      </c>
      <c r="W463" s="23">
        <v>62</v>
      </c>
      <c r="X463" s="24">
        <v>0</v>
      </c>
      <c r="Y463" s="20">
        <v>24</v>
      </c>
      <c r="Z463" s="19">
        <v>0</v>
      </c>
      <c r="AA463" s="23">
        <v>12</v>
      </c>
      <c r="AB463" s="24">
        <v>0</v>
      </c>
      <c r="AC463" s="23">
        <v>12</v>
      </c>
      <c r="AD463" s="24">
        <v>0</v>
      </c>
      <c r="AE463" s="23">
        <v>12</v>
      </c>
      <c r="AF463" s="24">
        <v>0</v>
      </c>
      <c r="AG463" s="23">
        <v>12</v>
      </c>
      <c r="AH463" s="24">
        <v>0</v>
      </c>
      <c r="AI463" s="23">
        <v>12</v>
      </c>
      <c r="AJ463" s="24">
        <v>0</v>
      </c>
      <c r="AK463" s="23">
        <v>12</v>
      </c>
      <c r="AL463" s="24">
        <v>0</v>
      </c>
      <c r="AM463" s="23">
        <v>12</v>
      </c>
      <c r="AN463" s="24">
        <v>0</v>
      </c>
      <c r="AO463" s="23">
        <v>12</v>
      </c>
      <c r="AP463" s="24">
        <v>0</v>
      </c>
      <c r="AQ463" s="23">
        <v>12</v>
      </c>
      <c r="AR463" s="24">
        <v>0</v>
      </c>
      <c r="AS463" s="20">
        <v>12</v>
      </c>
      <c r="AT463" s="19">
        <v>2</v>
      </c>
      <c r="AU463" s="23">
        <v>4</v>
      </c>
      <c r="AV463" s="24">
        <v>0</v>
      </c>
      <c r="AW463" s="23">
        <v>12</v>
      </c>
      <c r="AX463" s="24">
        <v>0</v>
      </c>
      <c r="AY463" s="23">
        <v>12</v>
      </c>
      <c r="AZ463" s="24">
        <v>0</v>
      </c>
      <c r="BA463" s="23">
        <v>12</v>
      </c>
      <c r="BB463" s="24">
        <v>2</v>
      </c>
      <c r="BC463" s="23">
        <v>4</v>
      </c>
      <c r="BD463" s="24">
        <v>2</v>
      </c>
      <c r="BE463" s="23">
        <v>4</v>
      </c>
      <c r="BF463" s="24">
        <v>0</v>
      </c>
      <c r="BG463" s="23">
        <v>12</v>
      </c>
      <c r="BH463" s="24">
        <v>0</v>
      </c>
      <c r="BI463" s="23">
        <v>12</v>
      </c>
      <c r="BJ463" s="24">
        <v>0</v>
      </c>
      <c r="BK463" s="23">
        <v>12</v>
      </c>
      <c r="BL463" s="24">
        <v>0</v>
      </c>
      <c r="BM463" s="20">
        <v>12</v>
      </c>
      <c r="BN463" s="19">
        <v>0</v>
      </c>
      <c r="BO463" s="23">
        <v>12</v>
      </c>
      <c r="BP463" s="24">
        <v>0</v>
      </c>
      <c r="BQ463" s="23">
        <v>12</v>
      </c>
      <c r="BR463" s="24">
        <v>0</v>
      </c>
      <c r="BS463" s="23">
        <v>12</v>
      </c>
      <c r="BT463" s="26">
        <v>0</v>
      </c>
      <c r="BU463" s="23">
        <v>12</v>
      </c>
      <c r="BV463" s="24">
        <v>0</v>
      </c>
      <c r="BW463" s="23">
        <v>12</v>
      </c>
      <c r="BX463" s="24">
        <v>0</v>
      </c>
      <c r="BY463" s="23">
        <v>12</v>
      </c>
      <c r="BZ463" s="24">
        <v>0</v>
      </c>
      <c r="CA463" s="23">
        <v>12</v>
      </c>
      <c r="CB463" s="24">
        <v>0</v>
      </c>
      <c r="CC463" s="23">
        <v>12</v>
      </c>
      <c r="CD463" s="24">
        <v>0</v>
      </c>
      <c r="CE463" s="23">
        <v>12</v>
      </c>
      <c r="CF463" s="24">
        <v>0</v>
      </c>
      <c r="CG463" s="20">
        <v>12</v>
      </c>
    </row>
    <row r="464" spans="1:85" x14ac:dyDescent="0.3">
      <c r="A464" t="s">
        <v>927</v>
      </c>
      <c r="B464">
        <v>21917</v>
      </c>
      <c r="C464" t="s">
        <v>928</v>
      </c>
      <c r="D464" s="19">
        <v>2477</v>
      </c>
      <c r="E464" s="20">
        <v>468</v>
      </c>
      <c r="F464" s="19">
        <v>147</v>
      </c>
      <c r="G464" s="23">
        <v>123</v>
      </c>
      <c r="H464" s="24">
        <v>0</v>
      </c>
      <c r="I464" s="23">
        <v>24</v>
      </c>
      <c r="J464" s="24">
        <v>0</v>
      </c>
      <c r="K464" s="23">
        <v>24</v>
      </c>
      <c r="L464" s="24">
        <v>0</v>
      </c>
      <c r="M464" s="23">
        <v>24</v>
      </c>
      <c r="N464" s="24">
        <v>115</v>
      </c>
      <c r="O464" s="23">
        <v>99</v>
      </c>
      <c r="P464" s="24">
        <v>103</v>
      </c>
      <c r="Q464" s="23">
        <v>89</v>
      </c>
      <c r="R464" s="24">
        <v>12</v>
      </c>
      <c r="S464" s="23">
        <v>38</v>
      </c>
      <c r="T464" s="24">
        <v>32</v>
      </c>
      <c r="U464" s="23">
        <v>39</v>
      </c>
      <c r="V464" s="24">
        <v>32</v>
      </c>
      <c r="W464" s="23">
        <v>39</v>
      </c>
      <c r="X464" s="24">
        <v>0</v>
      </c>
      <c r="Y464" s="20">
        <v>24</v>
      </c>
      <c r="Z464" s="19">
        <v>86</v>
      </c>
      <c r="AA464" s="23">
        <v>51</v>
      </c>
      <c r="AB464" s="24">
        <v>0</v>
      </c>
      <c r="AC464" s="23">
        <v>12</v>
      </c>
      <c r="AD464" s="24">
        <v>0</v>
      </c>
      <c r="AE464" s="23">
        <v>12</v>
      </c>
      <c r="AF464" s="24">
        <v>0</v>
      </c>
      <c r="AG464" s="23">
        <v>12</v>
      </c>
      <c r="AH464" s="24">
        <v>64</v>
      </c>
      <c r="AI464" s="23">
        <v>58</v>
      </c>
      <c r="AJ464" s="24">
        <v>20</v>
      </c>
      <c r="AK464" s="23">
        <v>33</v>
      </c>
      <c r="AL464" s="24">
        <v>44</v>
      </c>
      <c r="AM464" s="23">
        <v>49</v>
      </c>
      <c r="AN464" s="24">
        <v>22</v>
      </c>
      <c r="AO464" s="23">
        <v>27</v>
      </c>
      <c r="AP464" s="24">
        <v>22</v>
      </c>
      <c r="AQ464" s="23">
        <v>27</v>
      </c>
      <c r="AR464" s="24">
        <v>0</v>
      </c>
      <c r="AS464" s="20">
        <v>12</v>
      </c>
      <c r="AT464" s="19">
        <v>746</v>
      </c>
      <c r="AU464" s="23">
        <v>304</v>
      </c>
      <c r="AV464" s="24">
        <v>212</v>
      </c>
      <c r="AW464" s="23">
        <v>154</v>
      </c>
      <c r="AX464" s="24">
        <v>212</v>
      </c>
      <c r="AY464" s="23">
        <v>154</v>
      </c>
      <c r="AZ464" s="24">
        <v>0</v>
      </c>
      <c r="BA464" s="23">
        <v>12</v>
      </c>
      <c r="BB464" s="24">
        <v>390</v>
      </c>
      <c r="BC464" s="23">
        <v>177</v>
      </c>
      <c r="BD464" s="24">
        <v>376</v>
      </c>
      <c r="BE464" s="23">
        <v>170</v>
      </c>
      <c r="BF464" s="24">
        <v>14</v>
      </c>
      <c r="BG464" s="23">
        <v>24</v>
      </c>
      <c r="BH464" s="24">
        <v>144</v>
      </c>
      <c r="BI464" s="23">
        <v>98</v>
      </c>
      <c r="BJ464" s="24">
        <v>144</v>
      </c>
      <c r="BK464" s="23">
        <v>98</v>
      </c>
      <c r="BL464" s="24">
        <v>0</v>
      </c>
      <c r="BM464" s="20">
        <v>12</v>
      </c>
      <c r="BN464" s="19">
        <v>1498</v>
      </c>
      <c r="BO464" s="23">
        <v>438</v>
      </c>
      <c r="BP464" s="24">
        <v>347</v>
      </c>
      <c r="BQ464" s="23">
        <v>213</v>
      </c>
      <c r="BR464" s="24">
        <v>331</v>
      </c>
      <c r="BS464" s="23">
        <v>210</v>
      </c>
      <c r="BT464" s="26">
        <v>16</v>
      </c>
      <c r="BU464" s="23">
        <v>23</v>
      </c>
      <c r="BV464" s="24">
        <v>945</v>
      </c>
      <c r="BW464" s="23">
        <v>239</v>
      </c>
      <c r="BX464" s="24">
        <v>921</v>
      </c>
      <c r="BY464" s="23">
        <v>235</v>
      </c>
      <c r="BZ464" s="24">
        <v>24</v>
      </c>
      <c r="CA464" s="23">
        <v>27</v>
      </c>
      <c r="CB464" s="24">
        <v>206</v>
      </c>
      <c r="CC464" s="23">
        <v>152</v>
      </c>
      <c r="CD464" s="24">
        <v>206</v>
      </c>
      <c r="CE464" s="23">
        <v>152</v>
      </c>
      <c r="CF464" s="24">
        <v>0</v>
      </c>
      <c r="CG464" s="20">
        <v>12</v>
      </c>
    </row>
    <row r="465" spans="1:85" x14ac:dyDescent="0.3">
      <c r="A465" t="s">
        <v>929</v>
      </c>
      <c r="B465">
        <v>21918</v>
      </c>
      <c r="C465" t="s">
        <v>930</v>
      </c>
      <c r="D465" s="19">
        <v>3706</v>
      </c>
      <c r="E465" s="20">
        <v>412</v>
      </c>
      <c r="F465" s="19">
        <v>334</v>
      </c>
      <c r="G465" s="23">
        <v>233</v>
      </c>
      <c r="H465" s="24">
        <v>46</v>
      </c>
      <c r="I465" s="23">
        <v>74</v>
      </c>
      <c r="J465" s="24">
        <v>46</v>
      </c>
      <c r="K465" s="23">
        <v>74</v>
      </c>
      <c r="L465" s="24">
        <v>0</v>
      </c>
      <c r="M465" s="23">
        <v>24</v>
      </c>
      <c r="N465" s="24">
        <v>245</v>
      </c>
      <c r="O465" s="23">
        <v>183</v>
      </c>
      <c r="P465" s="24">
        <v>140</v>
      </c>
      <c r="Q465" s="23">
        <v>120</v>
      </c>
      <c r="R465" s="24">
        <v>105</v>
      </c>
      <c r="S465" s="23">
        <v>86</v>
      </c>
      <c r="T465" s="24">
        <v>43</v>
      </c>
      <c r="U465" s="23">
        <v>53</v>
      </c>
      <c r="V465" s="24">
        <v>43</v>
      </c>
      <c r="W465" s="23">
        <v>53</v>
      </c>
      <c r="X465" s="24">
        <v>0</v>
      </c>
      <c r="Y465" s="20">
        <v>24</v>
      </c>
      <c r="Z465" s="19">
        <v>339</v>
      </c>
      <c r="AA465" s="23">
        <v>213</v>
      </c>
      <c r="AB465" s="24">
        <v>118</v>
      </c>
      <c r="AC465" s="23">
        <v>109</v>
      </c>
      <c r="AD465" s="24">
        <v>118</v>
      </c>
      <c r="AE465" s="23">
        <v>109</v>
      </c>
      <c r="AF465" s="24">
        <v>0</v>
      </c>
      <c r="AG465" s="23">
        <v>12</v>
      </c>
      <c r="AH465" s="24">
        <v>164</v>
      </c>
      <c r="AI465" s="23">
        <v>117</v>
      </c>
      <c r="AJ465" s="24">
        <v>154</v>
      </c>
      <c r="AK465" s="23">
        <v>117</v>
      </c>
      <c r="AL465" s="24">
        <v>10</v>
      </c>
      <c r="AM465" s="23">
        <v>15</v>
      </c>
      <c r="AN465" s="24">
        <v>57</v>
      </c>
      <c r="AO465" s="23">
        <v>39</v>
      </c>
      <c r="AP465" s="24">
        <v>57</v>
      </c>
      <c r="AQ465" s="23">
        <v>39</v>
      </c>
      <c r="AR465" s="24">
        <v>0</v>
      </c>
      <c r="AS465" s="20">
        <v>12</v>
      </c>
      <c r="AT465" s="19">
        <v>1056</v>
      </c>
      <c r="AU465" s="23">
        <v>334</v>
      </c>
      <c r="AV465" s="24">
        <v>253</v>
      </c>
      <c r="AW465" s="23">
        <v>159</v>
      </c>
      <c r="AX465" s="24">
        <v>246</v>
      </c>
      <c r="AY465" s="23">
        <v>158</v>
      </c>
      <c r="AZ465" s="24">
        <v>7</v>
      </c>
      <c r="BA465" s="23">
        <v>11</v>
      </c>
      <c r="BB465" s="24">
        <v>582</v>
      </c>
      <c r="BC465" s="23">
        <v>171</v>
      </c>
      <c r="BD465" s="24">
        <v>513</v>
      </c>
      <c r="BE465" s="23">
        <v>162</v>
      </c>
      <c r="BF465" s="24">
        <v>69</v>
      </c>
      <c r="BG465" s="23">
        <v>69</v>
      </c>
      <c r="BH465" s="24">
        <v>221</v>
      </c>
      <c r="BI465" s="23">
        <v>87</v>
      </c>
      <c r="BJ465" s="24">
        <v>221</v>
      </c>
      <c r="BK465" s="23">
        <v>87</v>
      </c>
      <c r="BL465" s="24">
        <v>0</v>
      </c>
      <c r="BM465" s="20">
        <v>12</v>
      </c>
      <c r="BN465" s="19">
        <v>1977</v>
      </c>
      <c r="BO465" s="23">
        <v>404</v>
      </c>
      <c r="BP465" s="24">
        <v>293</v>
      </c>
      <c r="BQ465" s="23">
        <v>126</v>
      </c>
      <c r="BR465" s="24">
        <v>293</v>
      </c>
      <c r="BS465" s="23">
        <v>126</v>
      </c>
      <c r="BT465" s="26">
        <v>0</v>
      </c>
      <c r="BU465" s="23">
        <v>12</v>
      </c>
      <c r="BV465" s="24">
        <v>1528</v>
      </c>
      <c r="BW465" s="23">
        <v>310</v>
      </c>
      <c r="BX465" s="24">
        <v>1495</v>
      </c>
      <c r="BY465" s="23">
        <v>304</v>
      </c>
      <c r="BZ465" s="24">
        <v>33</v>
      </c>
      <c r="CA465" s="23">
        <v>30</v>
      </c>
      <c r="CB465" s="24">
        <v>156</v>
      </c>
      <c r="CC465" s="23">
        <v>65</v>
      </c>
      <c r="CD465" s="24">
        <v>156</v>
      </c>
      <c r="CE465" s="23">
        <v>65</v>
      </c>
      <c r="CF465" s="24">
        <v>0</v>
      </c>
      <c r="CG465" s="20">
        <v>12</v>
      </c>
    </row>
    <row r="466" spans="1:85" x14ac:dyDescent="0.3">
      <c r="A466" t="s">
        <v>931</v>
      </c>
      <c r="B466">
        <v>21919</v>
      </c>
      <c r="C466" t="s">
        <v>932</v>
      </c>
      <c r="D466" s="19">
        <v>3046</v>
      </c>
      <c r="E466" s="20">
        <v>451</v>
      </c>
      <c r="F466" s="19">
        <v>193</v>
      </c>
      <c r="G466" s="23">
        <v>220</v>
      </c>
      <c r="H466" s="24">
        <v>61</v>
      </c>
      <c r="I466" s="23">
        <v>108</v>
      </c>
      <c r="J466" s="24">
        <v>61</v>
      </c>
      <c r="K466" s="23">
        <v>108</v>
      </c>
      <c r="L466" s="24">
        <v>0</v>
      </c>
      <c r="M466" s="23">
        <v>24</v>
      </c>
      <c r="N466" s="24">
        <v>50</v>
      </c>
      <c r="O466" s="23">
        <v>71</v>
      </c>
      <c r="P466" s="24">
        <v>47</v>
      </c>
      <c r="Q466" s="23">
        <v>70</v>
      </c>
      <c r="R466" s="24">
        <v>3</v>
      </c>
      <c r="S466" s="23">
        <v>18</v>
      </c>
      <c r="T466" s="24">
        <v>82</v>
      </c>
      <c r="U466" s="23">
        <v>96</v>
      </c>
      <c r="V466" s="24">
        <v>82</v>
      </c>
      <c r="W466" s="23">
        <v>96</v>
      </c>
      <c r="X466" s="24">
        <v>0</v>
      </c>
      <c r="Y466" s="20">
        <v>24</v>
      </c>
      <c r="Z466" s="19">
        <v>195</v>
      </c>
      <c r="AA466" s="23">
        <v>143</v>
      </c>
      <c r="AB466" s="24">
        <v>15</v>
      </c>
      <c r="AC466" s="23">
        <v>24</v>
      </c>
      <c r="AD466" s="24">
        <v>15</v>
      </c>
      <c r="AE466" s="23">
        <v>24</v>
      </c>
      <c r="AF466" s="24">
        <v>0</v>
      </c>
      <c r="AG466" s="23">
        <v>12</v>
      </c>
      <c r="AH466" s="24">
        <v>147</v>
      </c>
      <c r="AI466" s="23">
        <v>116</v>
      </c>
      <c r="AJ466" s="24">
        <v>147</v>
      </c>
      <c r="AK466" s="23">
        <v>116</v>
      </c>
      <c r="AL466" s="24">
        <v>0</v>
      </c>
      <c r="AM466" s="23">
        <v>12</v>
      </c>
      <c r="AN466" s="24">
        <v>33</v>
      </c>
      <c r="AO466" s="23">
        <v>36</v>
      </c>
      <c r="AP466" s="24">
        <v>33</v>
      </c>
      <c r="AQ466" s="23">
        <v>36</v>
      </c>
      <c r="AR466" s="24">
        <v>0</v>
      </c>
      <c r="AS466" s="20">
        <v>12</v>
      </c>
      <c r="AT466" s="19">
        <v>913</v>
      </c>
      <c r="AU466" s="23">
        <v>306</v>
      </c>
      <c r="AV466" s="24">
        <v>146</v>
      </c>
      <c r="AW466" s="23">
        <v>91</v>
      </c>
      <c r="AX466" s="24">
        <v>146</v>
      </c>
      <c r="AY466" s="23">
        <v>91</v>
      </c>
      <c r="AZ466" s="24">
        <v>0</v>
      </c>
      <c r="BA466" s="23">
        <v>12</v>
      </c>
      <c r="BB466" s="24">
        <v>482</v>
      </c>
      <c r="BC466" s="23">
        <v>190</v>
      </c>
      <c r="BD466" s="24">
        <v>427</v>
      </c>
      <c r="BE466" s="23">
        <v>170</v>
      </c>
      <c r="BF466" s="24">
        <v>55</v>
      </c>
      <c r="BG466" s="23">
        <v>53</v>
      </c>
      <c r="BH466" s="24">
        <v>285</v>
      </c>
      <c r="BI466" s="23">
        <v>159</v>
      </c>
      <c r="BJ466" s="24">
        <v>285</v>
      </c>
      <c r="BK466" s="23">
        <v>159</v>
      </c>
      <c r="BL466" s="24">
        <v>0</v>
      </c>
      <c r="BM466" s="20">
        <v>12</v>
      </c>
      <c r="BN466" s="19">
        <v>1745</v>
      </c>
      <c r="BO466" s="23">
        <v>444</v>
      </c>
      <c r="BP466" s="24">
        <v>231</v>
      </c>
      <c r="BQ466" s="23">
        <v>127</v>
      </c>
      <c r="BR466" s="24">
        <v>231</v>
      </c>
      <c r="BS466" s="23">
        <v>127</v>
      </c>
      <c r="BT466" s="26">
        <v>0</v>
      </c>
      <c r="BU466" s="23">
        <v>12</v>
      </c>
      <c r="BV466" s="24">
        <v>1015</v>
      </c>
      <c r="BW466" s="23">
        <v>316</v>
      </c>
      <c r="BX466" s="24">
        <v>1015</v>
      </c>
      <c r="BY466" s="23">
        <v>316</v>
      </c>
      <c r="BZ466" s="24">
        <v>0</v>
      </c>
      <c r="CA466" s="23">
        <v>12</v>
      </c>
      <c r="CB466" s="24">
        <v>499</v>
      </c>
      <c r="CC466" s="23">
        <v>184</v>
      </c>
      <c r="CD466" s="24">
        <v>499</v>
      </c>
      <c r="CE466" s="23">
        <v>184</v>
      </c>
      <c r="CF466" s="24">
        <v>0</v>
      </c>
      <c r="CG466" s="20">
        <v>12</v>
      </c>
    </row>
    <row r="467" spans="1:85" x14ac:dyDescent="0.3">
      <c r="A467" t="s">
        <v>933</v>
      </c>
      <c r="B467">
        <v>21920</v>
      </c>
      <c r="C467" t="s">
        <v>934</v>
      </c>
      <c r="D467" s="19">
        <v>352</v>
      </c>
      <c r="E467" s="20">
        <v>156</v>
      </c>
      <c r="F467" s="19">
        <v>99</v>
      </c>
      <c r="G467" s="23">
        <v>110</v>
      </c>
      <c r="H467" s="24">
        <v>30</v>
      </c>
      <c r="I467" s="23">
        <v>65</v>
      </c>
      <c r="J467" s="24">
        <v>30</v>
      </c>
      <c r="K467" s="23">
        <v>65</v>
      </c>
      <c r="L467" s="24">
        <v>0</v>
      </c>
      <c r="M467" s="23">
        <v>24</v>
      </c>
      <c r="N467" s="24">
        <v>59</v>
      </c>
      <c r="O467" s="23">
        <v>56</v>
      </c>
      <c r="P467" s="24">
        <v>59</v>
      </c>
      <c r="Q467" s="23">
        <v>56</v>
      </c>
      <c r="R467" s="24">
        <v>0</v>
      </c>
      <c r="S467" s="23">
        <v>24</v>
      </c>
      <c r="T467" s="24">
        <v>10</v>
      </c>
      <c r="U467" s="23">
        <v>28</v>
      </c>
      <c r="V467" s="24">
        <v>10</v>
      </c>
      <c r="W467" s="23">
        <v>28</v>
      </c>
      <c r="X467" s="24">
        <v>0</v>
      </c>
      <c r="Y467" s="20">
        <v>24</v>
      </c>
      <c r="Z467" s="19">
        <v>128</v>
      </c>
      <c r="AA467" s="23">
        <v>119</v>
      </c>
      <c r="AB467" s="24">
        <v>59</v>
      </c>
      <c r="AC467" s="23">
        <v>64</v>
      </c>
      <c r="AD467" s="24">
        <v>59</v>
      </c>
      <c r="AE467" s="23">
        <v>64</v>
      </c>
      <c r="AF467" s="24">
        <v>0</v>
      </c>
      <c r="AG467" s="23">
        <v>12</v>
      </c>
      <c r="AH467" s="24">
        <v>69</v>
      </c>
      <c r="AI467" s="23">
        <v>59</v>
      </c>
      <c r="AJ467" s="24">
        <v>50</v>
      </c>
      <c r="AK467" s="23">
        <v>51</v>
      </c>
      <c r="AL467" s="24">
        <v>19</v>
      </c>
      <c r="AM467" s="23">
        <v>29</v>
      </c>
      <c r="AN467" s="24">
        <v>0</v>
      </c>
      <c r="AO467" s="23">
        <v>12</v>
      </c>
      <c r="AP467" s="24">
        <v>0</v>
      </c>
      <c r="AQ467" s="23">
        <v>12</v>
      </c>
      <c r="AR467" s="24">
        <v>0</v>
      </c>
      <c r="AS467" s="20">
        <v>12</v>
      </c>
      <c r="AT467" s="19">
        <v>68</v>
      </c>
      <c r="AU467" s="23">
        <v>67</v>
      </c>
      <c r="AV467" s="24">
        <v>18</v>
      </c>
      <c r="AW467" s="23">
        <v>30</v>
      </c>
      <c r="AX467" s="24">
        <v>18</v>
      </c>
      <c r="AY467" s="23">
        <v>30</v>
      </c>
      <c r="AZ467" s="24">
        <v>0</v>
      </c>
      <c r="BA467" s="23">
        <v>12</v>
      </c>
      <c r="BB467" s="24">
        <v>33</v>
      </c>
      <c r="BC467" s="23">
        <v>44</v>
      </c>
      <c r="BD467" s="24">
        <v>33</v>
      </c>
      <c r="BE467" s="23">
        <v>44</v>
      </c>
      <c r="BF467" s="24">
        <v>0</v>
      </c>
      <c r="BG467" s="23">
        <v>12</v>
      </c>
      <c r="BH467" s="24">
        <v>17</v>
      </c>
      <c r="BI467" s="23">
        <v>26</v>
      </c>
      <c r="BJ467" s="24">
        <v>17</v>
      </c>
      <c r="BK467" s="23">
        <v>26</v>
      </c>
      <c r="BL467" s="24">
        <v>0</v>
      </c>
      <c r="BM467" s="20">
        <v>12</v>
      </c>
      <c r="BN467" s="19">
        <v>57</v>
      </c>
      <c r="BO467" s="23">
        <v>88</v>
      </c>
      <c r="BP467" s="24">
        <v>0</v>
      </c>
      <c r="BQ467" s="23">
        <v>12</v>
      </c>
      <c r="BR467" s="24">
        <v>0</v>
      </c>
      <c r="BS467" s="23">
        <v>12</v>
      </c>
      <c r="BT467" s="26">
        <v>0</v>
      </c>
      <c r="BU467" s="23">
        <v>12</v>
      </c>
      <c r="BV467" s="24">
        <v>57</v>
      </c>
      <c r="BW467" s="23">
        <v>88</v>
      </c>
      <c r="BX467" s="24">
        <v>27</v>
      </c>
      <c r="BY467" s="23">
        <v>41</v>
      </c>
      <c r="BZ467" s="24">
        <v>30</v>
      </c>
      <c r="CA467" s="23">
        <v>47</v>
      </c>
      <c r="CB467" s="24">
        <v>0</v>
      </c>
      <c r="CC467" s="23">
        <v>12</v>
      </c>
      <c r="CD467" s="24">
        <v>0</v>
      </c>
      <c r="CE467" s="23">
        <v>12</v>
      </c>
      <c r="CF467" s="24">
        <v>0</v>
      </c>
      <c r="CG467" s="20">
        <v>12</v>
      </c>
    </row>
    <row r="468" spans="1:85" x14ac:dyDescent="0.3">
      <c r="A468" t="s">
        <v>935</v>
      </c>
      <c r="B468">
        <v>21921</v>
      </c>
      <c r="C468" t="s">
        <v>936</v>
      </c>
      <c r="D468" s="19">
        <v>43608</v>
      </c>
      <c r="E468" s="20">
        <v>1259</v>
      </c>
      <c r="F468" s="19">
        <v>7927</v>
      </c>
      <c r="G468" s="23">
        <v>1467</v>
      </c>
      <c r="H468" s="24">
        <v>2842</v>
      </c>
      <c r="I468" s="23">
        <v>744</v>
      </c>
      <c r="J468" s="24">
        <v>2702</v>
      </c>
      <c r="K468" s="23">
        <v>740</v>
      </c>
      <c r="L468" s="24">
        <v>140</v>
      </c>
      <c r="M468" s="23">
        <v>153</v>
      </c>
      <c r="N468" s="24">
        <v>4441</v>
      </c>
      <c r="O468" s="23">
        <v>914</v>
      </c>
      <c r="P468" s="24">
        <v>3606</v>
      </c>
      <c r="Q468" s="23">
        <v>797</v>
      </c>
      <c r="R468" s="24">
        <v>835</v>
      </c>
      <c r="S468" s="23">
        <v>439</v>
      </c>
      <c r="T468" s="24">
        <v>644</v>
      </c>
      <c r="U468" s="23">
        <v>272</v>
      </c>
      <c r="V468" s="24">
        <v>595</v>
      </c>
      <c r="W468" s="23">
        <v>259</v>
      </c>
      <c r="X468" s="24">
        <v>49</v>
      </c>
      <c r="Y468" s="20">
        <v>80</v>
      </c>
      <c r="Z468" s="19">
        <v>3660</v>
      </c>
      <c r="AA468" s="23">
        <v>790</v>
      </c>
      <c r="AB468" s="24">
        <v>954</v>
      </c>
      <c r="AC468" s="23">
        <v>321</v>
      </c>
      <c r="AD468" s="24">
        <v>908</v>
      </c>
      <c r="AE468" s="23">
        <v>323</v>
      </c>
      <c r="AF468" s="24">
        <v>46</v>
      </c>
      <c r="AG468" s="23">
        <v>62</v>
      </c>
      <c r="AH468" s="24">
        <v>2078</v>
      </c>
      <c r="AI468" s="23">
        <v>461</v>
      </c>
      <c r="AJ468" s="24">
        <v>1740</v>
      </c>
      <c r="AK468" s="23">
        <v>420</v>
      </c>
      <c r="AL468" s="24">
        <v>338</v>
      </c>
      <c r="AM468" s="23">
        <v>197</v>
      </c>
      <c r="AN468" s="24">
        <v>628</v>
      </c>
      <c r="AO468" s="23">
        <v>231</v>
      </c>
      <c r="AP468" s="24">
        <v>617</v>
      </c>
      <c r="AQ468" s="23">
        <v>226</v>
      </c>
      <c r="AR468" s="24">
        <v>11</v>
      </c>
      <c r="AS468" s="20">
        <v>19</v>
      </c>
      <c r="AT468" s="19">
        <v>12270</v>
      </c>
      <c r="AU468" s="23">
        <v>1256</v>
      </c>
      <c r="AV468" s="24">
        <v>3011</v>
      </c>
      <c r="AW468" s="23">
        <v>510</v>
      </c>
      <c r="AX468" s="24">
        <v>2917</v>
      </c>
      <c r="AY468" s="23">
        <v>519</v>
      </c>
      <c r="AZ468" s="24">
        <v>94</v>
      </c>
      <c r="BA468" s="23">
        <v>91</v>
      </c>
      <c r="BB468" s="24">
        <v>7344</v>
      </c>
      <c r="BC468" s="23">
        <v>779</v>
      </c>
      <c r="BD468" s="24">
        <v>6581</v>
      </c>
      <c r="BE468" s="23">
        <v>804</v>
      </c>
      <c r="BF468" s="24">
        <v>763</v>
      </c>
      <c r="BG468" s="23">
        <v>268</v>
      </c>
      <c r="BH468" s="24">
        <v>1915</v>
      </c>
      <c r="BI468" s="23">
        <v>310</v>
      </c>
      <c r="BJ468" s="24">
        <v>1915</v>
      </c>
      <c r="BK468" s="23">
        <v>310</v>
      </c>
      <c r="BL468" s="24">
        <v>0</v>
      </c>
      <c r="BM468" s="20">
        <v>25</v>
      </c>
      <c r="BN468" s="19">
        <v>19751</v>
      </c>
      <c r="BO468" s="23">
        <v>1495</v>
      </c>
      <c r="BP468" s="24">
        <v>4043</v>
      </c>
      <c r="BQ468" s="23">
        <v>673</v>
      </c>
      <c r="BR468" s="24">
        <v>4043</v>
      </c>
      <c r="BS468" s="23">
        <v>673</v>
      </c>
      <c r="BT468" s="26">
        <v>0</v>
      </c>
      <c r="BU468" s="23">
        <v>25</v>
      </c>
      <c r="BV468" s="24">
        <v>13304</v>
      </c>
      <c r="BW468" s="23">
        <v>1004</v>
      </c>
      <c r="BX468" s="24">
        <v>12872</v>
      </c>
      <c r="BY468" s="23">
        <v>972</v>
      </c>
      <c r="BZ468" s="24">
        <v>432</v>
      </c>
      <c r="CA468" s="23">
        <v>189</v>
      </c>
      <c r="CB468" s="24">
        <v>2404</v>
      </c>
      <c r="CC468" s="23">
        <v>313</v>
      </c>
      <c r="CD468" s="24">
        <v>2404</v>
      </c>
      <c r="CE468" s="23">
        <v>313</v>
      </c>
      <c r="CF468" s="24">
        <v>0</v>
      </c>
      <c r="CG468" s="20">
        <v>25</v>
      </c>
    </row>
    <row r="469" spans="1:85" x14ac:dyDescent="0.3">
      <c r="A469" t="s">
        <v>937</v>
      </c>
      <c r="B469">
        <v>21930</v>
      </c>
      <c r="C469" t="s">
        <v>938</v>
      </c>
      <c r="D469" s="19">
        <v>205</v>
      </c>
      <c r="E469" s="20">
        <v>193</v>
      </c>
      <c r="F469" s="19">
        <v>48</v>
      </c>
      <c r="G469" s="23">
        <v>87</v>
      </c>
      <c r="H469" s="24">
        <v>0</v>
      </c>
      <c r="I469" s="23">
        <v>24</v>
      </c>
      <c r="J469" s="24">
        <v>0</v>
      </c>
      <c r="K469" s="23">
        <v>24</v>
      </c>
      <c r="L469" s="24">
        <v>0</v>
      </c>
      <c r="M469" s="23">
        <v>24</v>
      </c>
      <c r="N469" s="24">
        <v>18</v>
      </c>
      <c r="O469" s="23">
        <v>41</v>
      </c>
      <c r="P469" s="24">
        <v>0</v>
      </c>
      <c r="Q469" s="23">
        <v>24</v>
      </c>
      <c r="R469" s="24">
        <v>18</v>
      </c>
      <c r="S469" s="23">
        <v>41</v>
      </c>
      <c r="T469" s="24">
        <v>30</v>
      </c>
      <c r="U469" s="23">
        <v>58</v>
      </c>
      <c r="V469" s="24">
        <v>30</v>
      </c>
      <c r="W469" s="23">
        <v>58</v>
      </c>
      <c r="X469" s="24">
        <v>0</v>
      </c>
      <c r="Y469" s="20">
        <v>24</v>
      </c>
      <c r="Z469" s="19">
        <v>0</v>
      </c>
      <c r="AA469" s="23">
        <v>12</v>
      </c>
      <c r="AB469" s="24">
        <v>0</v>
      </c>
      <c r="AC469" s="23">
        <v>12</v>
      </c>
      <c r="AD469" s="24">
        <v>0</v>
      </c>
      <c r="AE469" s="23">
        <v>12</v>
      </c>
      <c r="AF469" s="24">
        <v>0</v>
      </c>
      <c r="AG469" s="23">
        <v>12</v>
      </c>
      <c r="AH469" s="24">
        <v>0</v>
      </c>
      <c r="AI469" s="23">
        <v>12</v>
      </c>
      <c r="AJ469" s="24">
        <v>0</v>
      </c>
      <c r="AK469" s="23">
        <v>12</v>
      </c>
      <c r="AL469" s="24">
        <v>0</v>
      </c>
      <c r="AM469" s="23">
        <v>12</v>
      </c>
      <c r="AN469" s="24">
        <v>0</v>
      </c>
      <c r="AO469" s="23">
        <v>12</v>
      </c>
      <c r="AP469" s="24">
        <v>0</v>
      </c>
      <c r="AQ469" s="23">
        <v>12</v>
      </c>
      <c r="AR469" s="24">
        <v>0</v>
      </c>
      <c r="AS469" s="20">
        <v>12</v>
      </c>
      <c r="AT469" s="19">
        <v>0</v>
      </c>
      <c r="AU469" s="23">
        <v>12</v>
      </c>
      <c r="AV469" s="24">
        <v>0</v>
      </c>
      <c r="AW469" s="23">
        <v>12</v>
      </c>
      <c r="AX469" s="24">
        <v>0</v>
      </c>
      <c r="AY469" s="23">
        <v>12</v>
      </c>
      <c r="AZ469" s="24">
        <v>0</v>
      </c>
      <c r="BA469" s="23">
        <v>12</v>
      </c>
      <c r="BB469" s="24">
        <v>0</v>
      </c>
      <c r="BC469" s="23">
        <v>12</v>
      </c>
      <c r="BD469" s="24">
        <v>0</v>
      </c>
      <c r="BE469" s="23">
        <v>12</v>
      </c>
      <c r="BF469" s="24">
        <v>0</v>
      </c>
      <c r="BG469" s="23">
        <v>12</v>
      </c>
      <c r="BH469" s="24">
        <v>0</v>
      </c>
      <c r="BI469" s="23">
        <v>12</v>
      </c>
      <c r="BJ469" s="24">
        <v>0</v>
      </c>
      <c r="BK469" s="23">
        <v>12</v>
      </c>
      <c r="BL469" s="24">
        <v>0</v>
      </c>
      <c r="BM469" s="20">
        <v>12</v>
      </c>
      <c r="BN469" s="19">
        <v>157</v>
      </c>
      <c r="BO469" s="23">
        <v>178</v>
      </c>
      <c r="BP469" s="24">
        <v>0</v>
      </c>
      <c r="BQ469" s="23">
        <v>12</v>
      </c>
      <c r="BR469" s="24">
        <v>0</v>
      </c>
      <c r="BS469" s="23">
        <v>12</v>
      </c>
      <c r="BT469" s="26">
        <v>0</v>
      </c>
      <c r="BU469" s="23">
        <v>12</v>
      </c>
      <c r="BV469" s="24">
        <v>50</v>
      </c>
      <c r="BW469" s="23">
        <v>80</v>
      </c>
      <c r="BX469" s="24">
        <v>50</v>
      </c>
      <c r="BY469" s="23">
        <v>80</v>
      </c>
      <c r="BZ469" s="24">
        <v>0</v>
      </c>
      <c r="CA469" s="23">
        <v>12</v>
      </c>
      <c r="CB469" s="24">
        <v>107</v>
      </c>
      <c r="CC469" s="23">
        <v>145</v>
      </c>
      <c r="CD469" s="24">
        <v>107</v>
      </c>
      <c r="CE469" s="23">
        <v>145</v>
      </c>
      <c r="CF469" s="24">
        <v>0</v>
      </c>
      <c r="CG469" s="20">
        <v>12</v>
      </c>
    </row>
    <row r="470" spans="1:85" x14ac:dyDescent="0.3">
      <c r="A470" t="s">
        <v>1416</v>
      </c>
      <c r="D470" s="29"/>
      <c r="E470" s="30"/>
      <c r="F470" s="29">
        <f>SUBTOTAL(109,BaseTable[Below 138% of FPL])</f>
        <v>833688</v>
      </c>
      <c r="G470" s="29">
        <f>SUBTOTAL(109,BaseTable[MOE - Below 138% of FPL])</f>
        <v>232846</v>
      </c>
      <c r="H470" s="29">
        <f>SUBTOTAL(109,BaseTable[Below 138% of FPL - Under 19 years])</f>
        <v>267669</v>
      </c>
      <c r="I470" s="29">
        <f>SUBTOTAL(109,BaseTable[MOE - Below 138% of FPL - Under 19 years])</f>
        <v>120679</v>
      </c>
      <c r="J470" s="29">
        <f>SUBTOTAL(109,BaseTable[Below 138% of FPL - Under 19 years - With health insurance coverage])</f>
        <v>251559</v>
      </c>
      <c r="K470" s="29">
        <f>SUBTOTAL(109,BaseTable[MOE - Below 138% of FPL - Under 19 years - With health insurance])</f>
        <v>116259</v>
      </c>
      <c r="L470" s="29">
        <f>SUBTOTAL(109,BaseTable[Below 138% of FPL - Under 19 years - No Health Insurance])</f>
        <v>16110</v>
      </c>
      <c r="M470" s="29">
        <f>SUBTOTAL(109,BaseTable[MOE - Below 138% of FPL - Under 19 year - No Health Insurance])</f>
        <v>27206</v>
      </c>
      <c r="N470" s="29">
        <f>SUBTOTAL(109,BaseTable[Below 138% of FPL - 19 to 64 years])</f>
        <v>459847</v>
      </c>
      <c r="O470" s="29">
        <f>SUBTOTAL(109,BaseTable[MOE - Below 138% of FPL - 19 to 64 years])</f>
        <v>131351</v>
      </c>
      <c r="P470" s="29">
        <f>SUBTOTAL(109,BaseTable[Below 138% of FPL - 19 to 64 years - With Health Insurance])</f>
        <v>361157</v>
      </c>
      <c r="Q470" s="29">
        <f>SUBTOTAL(109,BaseTable[MOE - Below 138% of FPL - 19 to 64 years - With Health Insurance])</f>
        <v>112236</v>
      </c>
      <c r="R470" s="29">
        <f>SUBTOTAL(109,BaseTable[Below 138% of FPL - 19 to 64 years - No Health Insurance])</f>
        <v>98690</v>
      </c>
      <c r="S470" s="29">
        <f>SUBTOTAL(109,BaseTable[MOE - Below 138% of FPL - 19 to 64 years - No Health Insurance])</f>
        <v>56582</v>
      </c>
      <c r="T470" s="29">
        <f>SUBTOTAL(109,BaseTable[Below 138% of FPL - 65 years and over])</f>
        <v>106172</v>
      </c>
      <c r="U470" s="29">
        <f>SUBTOTAL(109,BaseTable[MOE - Below 138% of FPL - 65 years and over])</f>
        <v>51149</v>
      </c>
      <c r="V470" s="29">
        <f>SUBTOTAL(109,BaseTable[Below 138% of FPL - 65 years and over - With Health Insurance])</f>
        <v>103895</v>
      </c>
      <c r="W470" s="29">
        <f>SUBTOTAL(109,BaseTable[MOE - Below 138% of FPL - 65 years and over - With Health Insurance])</f>
        <v>50343</v>
      </c>
      <c r="X470" s="29">
        <f>SUBTOTAL(109,BaseTable[Below 138% of FPL - 65 years and over - No Health Insurance])</f>
        <v>2277</v>
      </c>
      <c r="Y470" s="29">
        <f>SUBTOTAL(109,BaseTable[MOE - Below 138% of FPL - 65 years and over - No Health Insurance])</f>
        <v>16279</v>
      </c>
      <c r="Z470" s="29">
        <f>SUBTOTAL(109,BaseTable[138 to 199% of FPL])</f>
        <v>490145</v>
      </c>
      <c r="AA470" s="29">
        <f>SUBTOTAL(109,BaseTable[MOE - 138 to 199% of FPL])</f>
        <v>138741</v>
      </c>
      <c r="AB470" s="29">
        <f>SUBTOTAL(109,BaseTable[138 to 199% of FPL - Under 19 years:])</f>
        <v>152132</v>
      </c>
      <c r="AC470" s="29">
        <f>SUBTOTAL(109,BaseTable[MOE - 138 to 199% of FPL - Under 19 years:])</f>
        <v>66074</v>
      </c>
      <c r="AD470" s="29">
        <f>SUBTOTAL(109,BaseTable[138 to 199% of FPL - Under 19 years - With health insurance])</f>
        <v>143491</v>
      </c>
      <c r="AE470" s="29">
        <f>SUBTOTAL(109,BaseTable[MOE - 138 to 199% of FPL - Under 19 years - With health insurance])</f>
        <v>63719</v>
      </c>
      <c r="AF470" s="29">
        <f>SUBTOTAL(109,BaseTable[138 to 199% of FPL - Under 19 years - No health insurance coverage])</f>
        <v>8641</v>
      </c>
      <c r="AG470" s="29">
        <f>SUBTOTAL(109,BaseTable[MOE - 138 to 199% of FPL - Under 19 years - No health insurance coverage])</f>
        <v>13846</v>
      </c>
      <c r="AH470" s="29">
        <f>SUBTOTAL(109,BaseTable[138 to 199% of FPL- 19 to 64 years])</f>
        <v>264410</v>
      </c>
      <c r="AI470" s="29">
        <f>SUBTOTAL(109,BaseTable[MOE - 138 to 199% of FPL- 19 to 64 years])</f>
        <v>78946</v>
      </c>
      <c r="AJ470" s="29">
        <f>SUBTOTAL(109,BaseTable[138 to 199% of FPL - 19 to 64 years - With health insurance])</f>
        <v>203640</v>
      </c>
      <c r="AK470" s="29">
        <f>SUBTOTAL(109,BaseTable[MOE - 138 to 199% of FPL - 19 to 64 years - With health insurance])</f>
        <v>66259</v>
      </c>
      <c r="AL470" s="29">
        <f>SUBTOTAL(109,BaseTable[138 to 199% of FPL - 19 to 64 years - No health insurance])</f>
        <v>60770</v>
      </c>
      <c r="AM470" s="29">
        <f>SUBTOTAL(109,BaseTable[MOE - 138 to 199% of FPL - 19 to 64 years - No health insurance])</f>
        <v>33661</v>
      </c>
      <c r="AN470" s="29">
        <f>SUBTOTAL(109,BaseTable[138 to 199% of FPL - 65 years and over])</f>
        <v>73603</v>
      </c>
      <c r="AO470" s="29">
        <f>SUBTOTAL(109,BaseTable[MOE - 138 to 199% of FPL - 65 years and over])</f>
        <v>30996</v>
      </c>
      <c r="AP470" s="29">
        <f>SUBTOTAL(109,BaseTable[138 to 199% of FPL - 65 years and over - With health insurance])</f>
        <v>72778</v>
      </c>
      <c r="AQ470" s="29">
        <f>SUBTOTAL(109,BaseTable[MOE - 138 to 199% of FPL - 65 years and over - With health insurance])</f>
        <v>30787</v>
      </c>
      <c r="AR470" s="29">
        <f>SUBTOTAL(109,BaseTable[138 to 199% of FPL - 65 years and over - No health insurance])</f>
        <v>825</v>
      </c>
      <c r="AS470" s="29">
        <f>SUBTOTAL(109,BaseTable[MOE - 138 to 199% of FPL - 65 years and over - No health insurance])</f>
        <v>7919</v>
      </c>
      <c r="AT470" s="29">
        <f>SUBTOTAL(109,BaseTable[200 to 399% of FPL])</f>
        <v>1516816</v>
      </c>
      <c r="AU470" s="29">
        <f>SUBTOTAL(109,BaseTable[MOE - 200 to 399% of FPL])</f>
        <v>227328</v>
      </c>
      <c r="AV470" s="29">
        <f>SUBTOTAL(109,BaseTable[200 to 399% of FPL - Under 19 years])</f>
        <v>385051</v>
      </c>
      <c r="AW470" s="29">
        <f>SUBTOTAL(109,BaseTable[MOE - 200 to 399% of FPL - Under 19 years])</f>
        <v>95952</v>
      </c>
      <c r="AX470" s="29">
        <f>SUBTOTAL(109,BaseTable[200 to 399% of FPL - Under 19 years - With health insurance])</f>
        <v>367642</v>
      </c>
      <c r="AY470" s="29">
        <f>SUBTOTAL(109,BaseTable[MOE - 200 to 399% of FPL - Under 19 years - With health insurance])</f>
        <v>93610</v>
      </c>
      <c r="AZ470" s="29">
        <f>SUBTOTAL(109,BaseTable[200 to 399% of FPL - Under 19 years - No health insurance])</f>
        <v>17409</v>
      </c>
      <c r="BA470" s="29">
        <f>SUBTOTAL(109,BaseTable[MOE - 200 to 399% of FPL - Under 19 years - No health insurance])</f>
        <v>19046</v>
      </c>
      <c r="BB470" s="29">
        <f>SUBTOTAL(109,BaseTable[200 to 399% of FPL - 19 to 64 years])</f>
        <v>906887</v>
      </c>
      <c r="BC470" s="29">
        <f>SUBTOTAL(109,BaseTable[MOE - 200 to 399% of FPL - 19 to 64 years])</f>
        <v>144473</v>
      </c>
      <c r="BD470" s="29">
        <f>SUBTOTAL(109,BaseTable[200 to 399% of FPL - 19 to 64 years - With health insurance])</f>
        <v>778666</v>
      </c>
      <c r="BE470" s="29">
        <f>SUBTOTAL(109,BaseTable[MOE - 200 to 399% of FPL - 19 to 64 years - With health insurance])</f>
        <v>130828</v>
      </c>
      <c r="BF470" s="29">
        <f>SUBTOTAL(109,BaseTable[200 to 399% of FPL - 19 to 64 years - No health insurance])</f>
        <v>128221</v>
      </c>
      <c r="BG470" s="29">
        <f>SUBTOTAL(109,BaseTable[MOE - 200 to 399% of FPL - 19 to 64 years - No health insurance])</f>
        <v>49590</v>
      </c>
      <c r="BH470" s="29">
        <f>SUBTOTAL(109,BaseTable[200 to 399% of FPL - 65 years and over])</f>
        <v>224878</v>
      </c>
      <c r="BI470" s="29">
        <f>SUBTOTAL(109,BaseTable[MOE - 200 to 399% of FPL - 65 years and over])</f>
        <v>53987</v>
      </c>
      <c r="BJ470" s="29">
        <f>SUBTOTAL(109,BaseTable[200 to 399% of FPL - 65 years and over - With health insurance])</f>
        <v>221807</v>
      </c>
      <c r="BK470" s="29">
        <f>SUBTOTAL(109,BaseTable[MOE - 200 to 399% of FPL - 65 years and over - With health insurance])</f>
        <v>53551</v>
      </c>
      <c r="BL470" s="29">
        <f>SUBTOTAL(109,BaseTable[200 to 399% of FPL - 65 years and over - No health insurance])</f>
        <v>3071</v>
      </c>
      <c r="BM470" s="29">
        <f>SUBTOTAL(109,BaseTable[MOE - 200 to 399% of FPL - 65 years and over - No health insurance])</f>
        <v>9226</v>
      </c>
      <c r="BN470" s="29">
        <f>SUBTOTAL(109,BaseTable[400% FPL and over])</f>
        <v>2995460</v>
      </c>
      <c r="BO470" s="29">
        <f>SUBTOTAL(109,BaseTable[MOE - 400% FPL and over])</f>
        <v>248685</v>
      </c>
      <c r="BP470" s="29">
        <f>SUBTOTAL(109,BaseTable[400% FPL and over - Under 19 years])</f>
        <v>590090</v>
      </c>
      <c r="BQ470" s="29">
        <f>SUBTOTAL(109,BaseTable[MOE - 400% FPL and over - Under 19 years])</f>
        <v>96311</v>
      </c>
      <c r="BR470" s="29">
        <f>SUBTOTAL(109,BaseTable[400% FPL and over - Under 19 years - With health insurance])</f>
        <v>579224</v>
      </c>
      <c r="BS470" s="29">
        <f>SUBTOTAL(109,BaseTable[MOE - 400% FPL and over - Under 19 years - With health insurance])</f>
        <v>95093</v>
      </c>
      <c r="BT470" s="29">
        <f>SUBTOTAL(109,BaseTable[400% FPL and over - Under 19 years - No health insurance])</f>
        <v>10866</v>
      </c>
      <c r="BU470" s="29">
        <f>SUBTOTAL(109,BaseTable[MOE - 400% FPL and over - Under 19 years - No health insurance])</f>
        <v>13861</v>
      </c>
      <c r="BV470" s="29">
        <f>SUBTOTAL(109,BaseTable[400% FPL and over - 19 to 64 years])</f>
        <v>1984861</v>
      </c>
      <c r="BW470" s="29">
        <f>SUBTOTAL(109,BaseTable[MOE - 400% FPL and over - 19 to 64 years])</f>
        <v>175092</v>
      </c>
      <c r="BX470" s="29">
        <f>SUBTOTAL(109,BaseTable[400% FPL and over - 19 to 64 years - With health insurance])</f>
        <v>1904783</v>
      </c>
      <c r="BY470" s="29">
        <f>SUBTOTAL(109,BaseTable[MOE - 400% FPL and over - 19 to 64 years - With health insurance])</f>
        <v>168314</v>
      </c>
      <c r="BZ470" s="29">
        <f>SUBTOTAL(109,BaseTable[400% FPL and over - 19 to 64 years - No health insurance])</f>
        <v>80078</v>
      </c>
      <c r="CA470" s="29">
        <f>SUBTOTAL(109,BaseTable[MOE - 400% FPL and over - 19 to 64 years - No health insurance])</f>
        <v>38720</v>
      </c>
      <c r="CB470" s="29">
        <f>SUBTOTAL(109,BaseTable[400% FPL and over - 65 years and over])</f>
        <v>420509</v>
      </c>
      <c r="CC470" s="29">
        <f>SUBTOTAL(109,BaseTable[MOE - 400% FPL and over - 65 years and over])</f>
        <v>66088</v>
      </c>
      <c r="CD470" s="29">
        <f>SUBTOTAL(109,BaseTable[400% FPL and over - 65 years and over - With health insurance])</f>
        <v>417502</v>
      </c>
      <c r="CE470" s="29">
        <f>SUBTOTAL(109,BaseTable[MOE - 400% FPL and over - 65 years and over - With health insurance])</f>
        <v>65781</v>
      </c>
      <c r="CF470" s="29">
        <f>SUBTOTAL(109,BaseTable[400% FPL and over - 65 years and over - No health insurance])</f>
        <v>3007</v>
      </c>
      <c r="CG470" s="29">
        <f>SUBTOTAL(109,BaseTable[MOE - 400% FPL and over - 65 years and over - No health insurance])</f>
        <v>9125</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29"/>
  <sheetViews>
    <sheetView topLeftCell="N100" workbookViewId="0">
      <selection activeCell="I138" sqref="I138"/>
    </sheetView>
  </sheetViews>
  <sheetFormatPr defaultRowHeight="14.4" x14ac:dyDescent="0.3"/>
  <cols>
    <col min="1" max="1" width="10.109375" customWidth="1"/>
    <col min="3" max="3" width="9" customWidth="1"/>
    <col min="4" max="4" width="16.77734375" customWidth="1"/>
    <col min="5" max="5" width="25.88671875" customWidth="1"/>
    <col min="6" max="6" width="24.21875" customWidth="1"/>
    <col min="7" max="7" width="27.77734375" customWidth="1"/>
    <col min="8" max="8" width="18.44140625" customWidth="1"/>
    <col min="9" max="9" width="37" customWidth="1"/>
    <col min="10" max="10" width="18.5546875" customWidth="1"/>
    <col min="11" max="11" width="33" customWidth="1"/>
    <col min="12" max="12" width="18.5546875" customWidth="1"/>
    <col min="13" max="13" width="37.109375" customWidth="1"/>
    <col min="14" max="14" width="18.5546875" customWidth="1"/>
    <col min="15" max="15" width="37.109375" customWidth="1"/>
    <col min="18" max="18" width="10.109375" customWidth="1"/>
    <col min="20" max="20" width="9" customWidth="1"/>
    <col min="21" max="21" width="16.77734375" customWidth="1"/>
    <col min="22" max="22" width="25.88671875" customWidth="1"/>
    <col min="23" max="23" width="37.109375" customWidth="1"/>
    <col min="24" max="24" width="24.21875" customWidth="1"/>
    <col min="25" max="25" width="27.77734375" customWidth="1"/>
    <col min="26" max="26" width="18.44140625" customWidth="1"/>
    <col min="27" max="27" width="37" customWidth="1"/>
    <col min="28" max="28" width="18.5546875" customWidth="1"/>
    <col min="29" max="29" width="33" customWidth="1"/>
    <col min="30" max="30" width="18.5546875" customWidth="1"/>
    <col min="31" max="31" width="37.109375" customWidth="1"/>
    <col min="32" max="32" width="18.5546875" customWidth="1"/>
    <col min="33" max="33" width="37.109375" customWidth="1"/>
  </cols>
  <sheetData>
    <row r="1" spans="1:33" x14ac:dyDescent="0.3">
      <c r="A1" t="s">
        <v>978</v>
      </c>
      <c r="B1" t="s">
        <v>986</v>
      </c>
      <c r="C1" t="s">
        <v>987</v>
      </c>
      <c r="D1" t="s">
        <v>939</v>
      </c>
      <c r="E1" t="s">
        <v>984</v>
      </c>
      <c r="F1" t="s">
        <v>1405</v>
      </c>
      <c r="G1" t="s">
        <v>1419</v>
      </c>
      <c r="H1" t="s">
        <v>940</v>
      </c>
      <c r="I1" t="s">
        <v>979</v>
      </c>
      <c r="J1" t="s">
        <v>949</v>
      </c>
      <c r="K1" t="s">
        <v>981</v>
      </c>
      <c r="L1" t="s">
        <v>958</v>
      </c>
      <c r="M1" t="s">
        <v>982</v>
      </c>
      <c r="N1" t="s">
        <v>968</v>
      </c>
      <c r="O1" t="s">
        <v>983</v>
      </c>
      <c r="R1" t="s">
        <v>978</v>
      </c>
      <c r="S1" t="s">
        <v>986</v>
      </c>
      <c r="T1" t="s">
        <v>987</v>
      </c>
      <c r="U1" t="s">
        <v>939</v>
      </c>
      <c r="V1" t="s">
        <v>984</v>
      </c>
      <c r="W1" t="s">
        <v>1519</v>
      </c>
      <c r="X1" t="s">
        <v>1405</v>
      </c>
      <c r="Y1" t="s">
        <v>1419</v>
      </c>
      <c r="Z1" t="s">
        <v>940</v>
      </c>
      <c r="AA1" t="s">
        <v>979</v>
      </c>
      <c r="AB1" t="s">
        <v>949</v>
      </c>
      <c r="AC1" t="s">
        <v>981</v>
      </c>
      <c r="AD1" t="s">
        <v>958</v>
      </c>
      <c r="AE1" t="s">
        <v>982</v>
      </c>
      <c r="AF1" t="s">
        <v>968</v>
      </c>
      <c r="AG1" t="s">
        <v>983</v>
      </c>
    </row>
    <row r="2" spans="1:33" x14ac:dyDescent="0.3">
      <c r="A2">
        <v>20606</v>
      </c>
      <c r="B2" t="s">
        <v>1293</v>
      </c>
      <c r="C2" t="s">
        <v>1053</v>
      </c>
      <c r="D2">
        <v>471</v>
      </c>
      <c r="E2">
        <v>13</v>
      </c>
      <c r="F2">
        <v>13</v>
      </c>
      <c r="G2">
        <v>13</v>
      </c>
      <c r="H2">
        <v>135</v>
      </c>
      <c r="I2">
        <v>13</v>
      </c>
      <c r="J2">
        <v>39</v>
      </c>
      <c r="K2">
        <v>0</v>
      </c>
      <c r="L2">
        <v>94</v>
      </c>
      <c r="M2">
        <v>0</v>
      </c>
      <c r="N2">
        <v>203</v>
      </c>
      <c r="O2">
        <v>0</v>
      </c>
      <c r="R2">
        <v>20608</v>
      </c>
      <c r="S2" t="s">
        <v>1250</v>
      </c>
      <c r="T2" t="s">
        <v>989</v>
      </c>
      <c r="U2">
        <v>774</v>
      </c>
      <c r="V2">
        <v>90</v>
      </c>
      <c r="W2">
        <v>0.82371012276524391</v>
      </c>
      <c r="X2">
        <v>90</v>
      </c>
      <c r="Y2">
        <v>90</v>
      </c>
      <c r="Z2">
        <v>137</v>
      </c>
      <c r="AA2">
        <v>9</v>
      </c>
      <c r="AB2">
        <v>58</v>
      </c>
      <c r="AC2">
        <v>0</v>
      </c>
      <c r="AD2">
        <v>241</v>
      </c>
      <c r="AE2">
        <v>59</v>
      </c>
      <c r="AF2">
        <v>338</v>
      </c>
      <c r="AG2">
        <v>22</v>
      </c>
    </row>
    <row r="3" spans="1:33" x14ac:dyDescent="0.3">
      <c r="A3">
        <v>20609</v>
      </c>
      <c r="B3" t="s">
        <v>1267</v>
      </c>
      <c r="C3" t="s">
        <v>1053</v>
      </c>
      <c r="D3">
        <v>1145</v>
      </c>
      <c r="E3">
        <v>14</v>
      </c>
      <c r="F3">
        <v>14</v>
      </c>
      <c r="G3">
        <v>14</v>
      </c>
      <c r="H3">
        <v>279</v>
      </c>
      <c r="I3">
        <v>14</v>
      </c>
      <c r="J3">
        <v>123</v>
      </c>
      <c r="K3">
        <v>0</v>
      </c>
      <c r="L3">
        <v>403</v>
      </c>
      <c r="M3">
        <v>0</v>
      </c>
      <c r="N3">
        <v>340</v>
      </c>
      <c r="O3">
        <v>0</v>
      </c>
      <c r="R3">
        <v>20611</v>
      </c>
      <c r="S3" t="s">
        <v>1338</v>
      </c>
      <c r="T3" t="s">
        <v>1070</v>
      </c>
      <c r="U3">
        <v>1495</v>
      </c>
      <c r="V3">
        <v>99</v>
      </c>
      <c r="W3">
        <v>0.74882738433203988</v>
      </c>
      <c r="X3">
        <v>99</v>
      </c>
      <c r="Y3">
        <v>99</v>
      </c>
      <c r="Z3">
        <v>205</v>
      </c>
      <c r="AA3">
        <v>43</v>
      </c>
      <c r="AB3">
        <v>95</v>
      </c>
      <c r="AC3">
        <v>0</v>
      </c>
      <c r="AD3">
        <v>563</v>
      </c>
      <c r="AE3">
        <v>24</v>
      </c>
      <c r="AF3">
        <v>632</v>
      </c>
      <c r="AG3">
        <v>32</v>
      </c>
    </row>
    <row r="4" spans="1:33" x14ac:dyDescent="0.3">
      <c r="A4">
        <v>20617</v>
      </c>
      <c r="B4" t="s">
        <v>1349</v>
      </c>
      <c r="C4" t="s">
        <v>1070</v>
      </c>
      <c r="D4">
        <v>748</v>
      </c>
      <c r="E4">
        <v>0</v>
      </c>
      <c r="F4">
        <v>0</v>
      </c>
      <c r="G4">
        <v>0</v>
      </c>
      <c r="H4">
        <v>57</v>
      </c>
      <c r="I4">
        <v>0</v>
      </c>
      <c r="J4">
        <v>115</v>
      </c>
      <c r="K4">
        <v>0</v>
      </c>
      <c r="L4">
        <v>118</v>
      </c>
      <c r="M4">
        <v>0</v>
      </c>
      <c r="N4">
        <v>458</v>
      </c>
      <c r="O4">
        <v>0</v>
      </c>
      <c r="R4">
        <v>20612</v>
      </c>
      <c r="S4" t="s">
        <v>1284</v>
      </c>
      <c r="T4" t="s">
        <v>1070</v>
      </c>
      <c r="U4">
        <v>422</v>
      </c>
      <c r="V4">
        <v>52</v>
      </c>
      <c r="W4">
        <v>1.4256521355552298</v>
      </c>
      <c r="X4">
        <v>52</v>
      </c>
      <c r="Y4">
        <v>52</v>
      </c>
      <c r="Z4">
        <v>164</v>
      </c>
      <c r="AA4">
        <v>0</v>
      </c>
      <c r="AB4">
        <v>0</v>
      </c>
      <c r="AC4">
        <v>0</v>
      </c>
      <c r="AD4">
        <v>61</v>
      </c>
      <c r="AE4">
        <v>0</v>
      </c>
      <c r="AF4">
        <v>197</v>
      </c>
      <c r="AG4">
        <v>52</v>
      </c>
    </row>
    <row r="5" spans="1:33" x14ac:dyDescent="0.3">
      <c r="A5">
        <v>20618</v>
      </c>
      <c r="B5" t="s">
        <v>1358</v>
      </c>
      <c r="C5" t="s">
        <v>1053</v>
      </c>
      <c r="D5">
        <v>384</v>
      </c>
      <c r="E5">
        <v>4</v>
      </c>
      <c r="F5">
        <v>4</v>
      </c>
      <c r="G5">
        <v>4</v>
      </c>
      <c r="H5">
        <v>16</v>
      </c>
      <c r="I5">
        <v>0</v>
      </c>
      <c r="J5">
        <v>9</v>
      </c>
      <c r="K5">
        <v>4</v>
      </c>
      <c r="L5">
        <v>30</v>
      </c>
      <c r="M5">
        <v>0</v>
      </c>
      <c r="N5">
        <v>329</v>
      </c>
      <c r="O5">
        <v>0</v>
      </c>
      <c r="R5">
        <v>20615</v>
      </c>
      <c r="S5" t="s">
        <v>1301</v>
      </c>
      <c r="T5" t="s">
        <v>1055</v>
      </c>
      <c r="U5">
        <v>503</v>
      </c>
      <c r="V5">
        <v>52</v>
      </c>
      <c r="W5">
        <v>1.4256521355552298</v>
      </c>
      <c r="X5">
        <v>52</v>
      </c>
      <c r="Y5">
        <v>52</v>
      </c>
      <c r="Z5">
        <v>36</v>
      </c>
      <c r="AA5">
        <v>21</v>
      </c>
      <c r="AB5">
        <v>75</v>
      </c>
      <c r="AC5">
        <v>31</v>
      </c>
      <c r="AD5">
        <v>0</v>
      </c>
      <c r="AE5">
        <v>0</v>
      </c>
      <c r="AF5">
        <v>392</v>
      </c>
      <c r="AG5">
        <v>0</v>
      </c>
    </row>
    <row r="6" spans="1:33" x14ac:dyDescent="0.3">
      <c r="A6">
        <v>20620</v>
      </c>
      <c r="B6" t="s">
        <v>1258</v>
      </c>
      <c r="C6" t="s">
        <v>1053</v>
      </c>
      <c r="D6">
        <v>1426</v>
      </c>
      <c r="E6">
        <v>47</v>
      </c>
      <c r="F6">
        <v>47</v>
      </c>
      <c r="G6">
        <v>47</v>
      </c>
      <c r="H6">
        <v>352</v>
      </c>
      <c r="I6">
        <v>47</v>
      </c>
      <c r="J6">
        <v>65</v>
      </c>
      <c r="K6">
        <v>0</v>
      </c>
      <c r="L6">
        <v>116</v>
      </c>
      <c r="M6">
        <v>0</v>
      </c>
      <c r="N6">
        <v>893</v>
      </c>
      <c r="O6">
        <v>0</v>
      </c>
      <c r="R6">
        <v>20623</v>
      </c>
      <c r="S6" t="s">
        <v>1203</v>
      </c>
      <c r="T6" t="s">
        <v>989</v>
      </c>
      <c r="U6">
        <v>3077</v>
      </c>
      <c r="V6">
        <v>179</v>
      </c>
      <c r="W6">
        <v>0.41415592764732934</v>
      </c>
      <c r="X6">
        <v>179</v>
      </c>
      <c r="Y6">
        <v>179</v>
      </c>
      <c r="Z6">
        <v>48</v>
      </c>
      <c r="AA6">
        <v>0</v>
      </c>
      <c r="AB6">
        <v>26</v>
      </c>
      <c r="AC6">
        <v>0</v>
      </c>
      <c r="AD6">
        <v>731</v>
      </c>
      <c r="AE6">
        <v>126</v>
      </c>
      <c r="AF6">
        <v>2272</v>
      </c>
      <c r="AG6">
        <v>53</v>
      </c>
    </row>
    <row r="7" spans="1:33" x14ac:dyDescent="0.3">
      <c r="A7">
        <v>20621</v>
      </c>
      <c r="B7" t="s">
        <v>1306</v>
      </c>
      <c r="C7" t="s">
        <v>1053</v>
      </c>
      <c r="D7">
        <v>1043</v>
      </c>
      <c r="E7">
        <v>39</v>
      </c>
      <c r="F7">
        <v>39</v>
      </c>
      <c r="G7">
        <v>39</v>
      </c>
      <c r="H7">
        <v>166</v>
      </c>
      <c r="I7">
        <v>26</v>
      </c>
      <c r="J7">
        <v>93</v>
      </c>
      <c r="K7">
        <v>0</v>
      </c>
      <c r="L7">
        <v>383</v>
      </c>
      <c r="M7">
        <v>13</v>
      </c>
      <c r="N7">
        <v>401</v>
      </c>
      <c r="O7">
        <v>0</v>
      </c>
      <c r="R7">
        <v>20626</v>
      </c>
      <c r="S7" t="s">
        <v>1307</v>
      </c>
      <c r="T7" t="s">
        <v>1053</v>
      </c>
      <c r="U7">
        <v>287</v>
      </c>
      <c r="V7">
        <v>50</v>
      </c>
      <c r="W7">
        <v>1.482678220977439</v>
      </c>
      <c r="X7">
        <v>50</v>
      </c>
      <c r="Y7">
        <v>50</v>
      </c>
      <c r="Z7">
        <v>41</v>
      </c>
      <c r="AA7">
        <v>0</v>
      </c>
      <c r="AB7">
        <v>19</v>
      </c>
      <c r="AC7">
        <v>0</v>
      </c>
      <c r="AD7">
        <v>72</v>
      </c>
      <c r="AE7">
        <v>0</v>
      </c>
      <c r="AF7">
        <v>155</v>
      </c>
      <c r="AG7">
        <v>50</v>
      </c>
    </row>
    <row r="8" spans="1:33" x14ac:dyDescent="0.3">
      <c r="A8">
        <v>20624</v>
      </c>
      <c r="B8" t="s">
        <v>1329</v>
      </c>
      <c r="C8" t="s">
        <v>1053</v>
      </c>
      <c r="D8">
        <v>1278</v>
      </c>
      <c r="E8">
        <v>28</v>
      </c>
      <c r="F8">
        <v>28</v>
      </c>
      <c r="G8">
        <v>28</v>
      </c>
      <c r="H8">
        <v>203</v>
      </c>
      <c r="I8">
        <v>0</v>
      </c>
      <c r="J8">
        <v>77</v>
      </c>
      <c r="K8">
        <v>0</v>
      </c>
      <c r="L8">
        <v>383</v>
      </c>
      <c r="M8">
        <v>28</v>
      </c>
      <c r="N8">
        <v>615</v>
      </c>
      <c r="O8">
        <v>0</v>
      </c>
      <c r="R8">
        <v>20637</v>
      </c>
      <c r="S8" t="s">
        <v>1167</v>
      </c>
      <c r="T8" t="s">
        <v>1070</v>
      </c>
      <c r="U8">
        <v>5144</v>
      </c>
      <c r="V8">
        <v>201</v>
      </c>
      <c r="W8">
        <v>0.36882542810384056</v>
      </c>
      <c r="X8">
        <v>201</v>
      </c>
      <c r="Y8">
        <v>201</v>
      </c>
      <c r="Z8">
        <v>366</v>
      </c>
      <c r="AA8">
        <v>39</v>
      </c>
      <c r="AB8">
        <v>48</v>
      </c>
      <c r="AC8">
        <v>0</v>
      </c>
      <c r="AD8">
        <v>1120</v>
      </c>
      <c r="AE8">
        <v>113</v>
      </c>
      <c r="AF8">
        <v>3610</v>
      </c>
      <c r="AG8">
        <v>49</v>
      </c>
    </row>
    <row r="9" spans="1:33" x14ac:dyDescent="0.3">
      <c r="A9">
        <v>20625</v>
      </c>
      <c r="B9" t="s">
        <v>1294</v>
      </c>
      <c r="C9" t="s">
        <v>1070</v>
      </c>
      <c r="D9">
        <v>657</v>
      </c>
      <c r="E9">
        <v>20</v>
      </c>
      <c r="F9">
        <v>20</v>
      </c>
      <c r="G9">
        <v>20</v>
      </c>
      <c r="H9">
        <v>167</v>
      </c>
      <c r="I9">
        <v>0</v>
      </c>
      <c r="J9">
        <v>28</v>
      </c>
      <c r="K9">
        <v>8</v>
      </c>
      <c r="L9">
        <v>237</v>
      </c>
      <c r="M9">
        <v>0</v>
      </c>
      <c r="N9">
        <v>225</v>
      </c>
      <c r="O9">
        <v>12</v>
      </c>
      <c r="R9">
        <v>20662</v>
      </c>
      <c r="S9" t="s">
        <v>1251</v>
      </c>
      <c r="T9" t="s">
        <v>1070</v>
      </c>
      <c r="U9">
        <v>2844</v>
      </c>
      <c r="V9">
        <v>70</v>
      </c>
      <c r="W9">
        <v>1.0590558721267422</v>
      </c>
      <c r="X9">
        <v>70</v>
      </c>
      <c r="Y9">
        <v>70</v>
      </c>
      <c r="Z9">
        <v>344</v>
      </c>
      <c r="AA9">
        <v>50</v>
      </c>
      <c r="AB9">
        <v>175</v>
      </c>
      <c r="AC9">
        <v>11</v>
      </c>
      <c r="AD9">
        <v>1187</v>
      </c>
      <c r="AE9">
        <v>0</v>
      </c>
      <c r="AF9">
        <v>1138</v>
      </c>
      <c r="AG9">
        <v>9</v>
      </c>
    </row>
    <row r="10" spans="1:33" x14ac:dyDescent="0.3">
      <c r="A10">
        <v>20628</v>
      </c>
      <c r="B10" t="s">
        <v>1371</v>
      </c>
      <c r="C10" t="s">
        <v>1053</v>
      </c>
      <c r="D10">
        <v>170</v>
      </c>
      <c r="E10">
        <v>21</v>
      </c>
      <c r="F10">
        <v>21</v>
      </c>
      <c r="G10">
        <v>21</v>
      </c>
      <c r="H10">
        <v>11</v>
      </c>
      <c r="I10">
        <v>0</v>
      </c>
      <c r="J10">
        <v>0</v>
      </c>
      <c r="K10">
        <v>0</v>
      </c>
      <c r="L10">
        <v>0</v>
      </c>
      <c r="M10">
        <v>0</v>
      </c>
      <c r="N10">
        <v>159</v>
      </c>
      <c r="O10">
        <v>21</v>
      </c>
      <c r="R10">
        <v>20664</v>
      </c>
      <c r="S10" t="s">
        <v>1230</v>
      </c>
      <c r="T10" t="s">
        <v>1070</v>
      </c>
      <c r="U10">
        <v>3451</v>
      </c>
      <c r="V10">
        <v>180</v>
      </c>
      <c r="W10">
        <v>0.41185506138262196</v>
      </c>
      <c r="X10">
        <v>180</v>
      </c>
      <c r="Y10">
        <v>180</v>
      </c>
      <c r="Z10">
        <v>629</v>
      </c>
      <c r="AA10">
        <v>56</v>
      </c>
      <c r="AB10">
        <v>326</v>
      </c>
      <c r="AC10">
        <v>0</v>
      </c>
      <c r="AD10">
        <v>870</v>
      </c>
      <c r="AE10">
        <v>95</v>
      </c>
      <c r="AF10">
        <v>1626</v>
      </c>
      <c r="AG10">
        <v>29</v>
      </c>
    </row>
    <row r="11" spans="1:33" x14ac:dyDescent="0.3">
      <c r="A11">
        <v>20629</v>
      </c>
      <c r="B11" t="s">
        <v>1313</v>
      </c>
      <c r="C11" t="s">
        <v>1055</v>
      </c>
      <c r="D11">
        <v>384</v>
      </c>
      <c r="E11">
        <v>37</v>
      </c>
      <c r="F11">
        <v>37</v>
      </c>
      <c r="G11">
        <v>37</v>
      </c>
      <c r="H11">
        <v>12</v>
      </c>
      <c r="I11">
        <v>0</v>
      </c>
      <c r="J11">
        <v>136</v>
      </c>
      <c r="K11">
        <v>0</v>
      </c>
      <c r="L11">
        <v>49</v>
      </c>
      <c r="M11">
        <v>37</v>
      </c>
      <c r="N11">
        <v>187</v>
      </c>
      <c r="O11">
        <v>0</v>
      </c>
      <c r="R11">
        <v>20675</v>
      </c>
      <c r="S11" t="s">
        <v>1246</v>
      </c>
      <c r="T11" t="s">
        <v>1070</v>
      </c>
      <c r="U11">
        <v>1924</v>
      </c>
      <c r="V11">
        <v>143</v>
      </c>
      <c r="W11">
        <v>0.51841895838371999</v>
      </c>
      <c r="X11">
        <v>143</v>
      </c>
      <c r="Y11">
        <v>143</v>
      </c>
      <c r="Z11">
        <v>231</v>
      </c>
      <c r="AA11">
        <v>94</v>
      </c>
      <c r="AB11">
        <v>20</v>
      </c>
      <c r="AC11">
        <v>0</v>
      </c>
      <c r="AD11">
        <v>566</v>
      </c>
      <c r="AE11">
        <v>40</v>
      </c>
      <c r="AF11">
        <v>1107</v>
      </c>
      <c r="AG11">
        <v>9</v>
      </c>
    </row>
    <row r="12" spans="1:33" x14ac:dyDescent="0.3">
      <c r="A12">
        <v>20630</v>
      </c>
      <c r="B12" t="s">
        <v>1372</v>
      </c>
      <c r="C12" t="s">
        <v>1053</v>
      </c>
      <c r="D12">
        <v>359</v>
      </c>
      <c r="E12">
        <v>0</v>
      </c>
      <c r="F12">
        <v>0</v>
      </c>
      <c r="G12">
        <v>0</v>
      </c>
      <c r="H12">
        <v>0</v>
      </c>
      <c r="I12">
        <v>0</v>
      </c>
      <c r="J12">
        <v>130</v>
      </c>
      <c r="K12">
        <v>0</v>
      </c>
      <c r="L12">
        <v>10</v>
      </c>
      <c r="M12">
        <v>0</v>
      </c>
      <c r="N12">
        <v>219</v>
      </c>
      <c r="O12">
        <v>0</v>
      </c>
      <c r="R12">
        <v>20676</v>
      </c>
      <c r="S12" t="s">
        <v>1225</v>
      </c>
      <c r="T12" t="s">
        <v>1055</v>
      </c>
      <c r="U12">
        <v>4476</v>
      </c>
      <c r="V12">
        <v>121</v>
      </c>
      <c r="W12">
        <v>0.61267695081712359</v>
      </c>
      <c r="X12">
        <v>121</v>
      </c>
      <c r="Y12">
        <v>121</v>
      </c>
      <c r="Z12">
        <v>467</v>
      </c>
      <c r="AA12">
        <v>65</v>
      </c>
      <c r="AB12">
        <v>88</v>
      </c>
      <c r="AC12">
        <v>0</v>
      </c>
      <c r="AD12">
        <v>1269</v>
      </c>
      <c r="AE12">
        <v>0</v>
      </c>
      <c r="AF12">
        <v>2652</v>
      </c>
      <c r="AG12">
        <v>56</v>
      </c>
    </row>
    <row r="13" spans="1:33" x14ac:dyDescent="0.3">
      <c r="A13">
        <v>20632</v>
      </c>
      <c r="B13" t="s">
        <v>1373</v>
      </c>
      <c r="C13" t="s">
        <v>1070</v>
      </c>
      <c r="D13">
        <v>367</v>
      </c>
      <c r="E13">
        <v>0</v>
      </c>
      <c r="F13">
        <v>0</v>
      </c>
      <c r="G13">
        <v>0</v>
      </c>
      <c r="H13">
        <v>27</v>
      </c>
      <c r="I13">
        <v>0</v>
      </c>
      <c r="J13">
        <v>0</v>
      </c>
      <c r="K13">
        <v>0</v>
      </c>
      <c r="L13">
        <v>212</v>
      </c>
      <c r="M13">
        <v>0</v>
      </c>
      <c r="N13">
        <v>128</v>
      </c>
      <c r="O13">
        <v>0</v>
      </c>
      <c r="R13">
        <v>20677</v>
      </c>
      <c r="S13" t="s">
        <v>1287</v>
      </c>
      <c r="T13" t="s">
        <v>1070</v>
      </c>
      <c r="U13">
        <v>2544</v>
      </c>
      <c r="V13">
        <v>93</v>
      </c>
      <c r="W13">
        <v>0.79713882848249407</v>
      </c>
      <c r="X13">
        <v>93</v>
      </c>
      <c r="Y13">
        <v>93</v>
      </c>
      <c r="Z13">
        <v>219</v>
      </c>
      <c r="AA13">
        <v>28</v>
      </c>
      <c r="AB13">
        <v>105</v>
      </c>
      <c r="AC13">
        <v>8</v>
      </c>
      <c r="AD13">
        <v>547</v>
      </c>
      <c r="AE13">
        <v>42</v>
      </c>
      <c r="AF13">
        <v>1673</v>
      </c>
      <c r="AG13">
        <v>15</v>
      </c>
    </row>
    <row r="14" spans="1:33" x14ac:dyDescent="0.3">
      <c r="A14">
        <v>20645</v>
      </c>
      <c r="B14" t="s">
        <v>1331</v>
      </c>
      <c r="C14" t="s">
        <v>1070</v>
      </c>
      <c r="D14">
        <v>920</v>
      </c>
      <c r="E14">
        <v>14</v>
      </c>
      <c r="F14">
        <v>14</v>
      </c>
      <c r="G14">
        <v>14</v>
      </c>
      <c r="H14">
        <v>24</v>
      </c>
      <c r="I14">
        <v>0</v>
      </c>
      <c r="J14">
        <v>157</v>
      </c>
      <c r="K14">
        <v>0</v>
      </c>
      <c r="L14">
        <v>108</v>
      </c>
      <c r="M14">
        <v>14</v>
      </c>
      <c r="N14">
        <v>631</v>
      </c>
      <c r="O14">
        <v>0</v>
      </c>
      <c r="R14">
        <v>20684</v>
      </c>
      <c r="S14" t="s">
        <v>1262</v>
      </c>
      <c r="T14" t="s">
        <v>1053</v>
      </c>
      <c r="U14">
        <v>1626</v>
      </c>
      <c r="V14">
        <v>129</v>
      </c>
      <c r="W14">
        <v>0.5746814809990074</v>
      </c>
      <c r="X14">
        <v>129</v>
      </c>
      <c r="Y14">
        <v>129</v>
      </c>
      <c r="Z14">
        <v>261</v>
      </c>
      <c r="AA14">
        <v>31</v>
      </c>
      <c r="AB14">
        <v>123</v>
      </c>
      <c r="AC14">
        <v>32</v>
      </c>
      <c r="AD14">
        <v>361</v>
      </c>
      <c r="AE14">
        <v>0</v>
      </c>
      <c r="AF14">
        <v>881</v>
      </c>
      <c r="AG14">
        <v>66</v>
      </c>
    </row>
    <row r="15" spans="1:33" x14ac:dyDescent="0.3">
      <c r="A15">
        <v>20658</v>
      </c>
      <c r="B15" t="s">
        <v>1323</v>
      </c>
      <c r="C15" t="s">
        <v>1070</v>
      </c>
      <c r="D15">
        <v>938</v>
      </c>
      <c r="E15">
        <v>28</v>
      </c>
      <c r="F15">
        <v>28</v>
      </c>
      <c r="G15">
        <v>28</v>
      </c>
      <c r="H15">
        <v>119</v>
      </c>
      <c r="I15">
        <v>7</v>
      </c>
      <c r="J15">
        <v>15</v>
      </c>
      <c r="K15">
        <v>0</v>
      </c>
      <c r="L15">
        <v>533</v>
      </c>
      <c r="M15">
        <v>21</v>
      </c>
      <c r="N15">
        <v>271</v>
      </c>
      <c r="O15">
        <v>0</v>
      </c>
      <c r="R15">
        <v>20695</v>
      </c>
      <c r="S15" t="s">
        <v>1216</v>
      </c>
      <c r="T15" t="s">
        <v>1070</v>
      </c>
      <c r="U15">
        <v>7800</v>
      </c>
      <c r="V15">
        <v>193</v>
      </c>
      <c r="W15">
        <v>0.38411352875063187</v>
      </c>
      <c r="X15">
        <v>193</v>
      </c>
      <c r="Y15">
        <v>193</v>
      </c>
      <c r="Z15">
        <v>584</v>
      </c>
      <c r="AA15">
        <v>0</v>
      </c>
      <c r="AB15">
        <v>274</v>
      </c>
      <c r="AC15">
        <v>0</v>
      </c>
      <c r="AD15">
        <v>1448</v>
      </c>
      <c r="AE15">
        <v>34</v>
      </c>
      <c r="AF15">
        <v>5494</v>
      </c>
      <c r="AG15">
        <v>159</v>
      </c>
    </row>
    <row r="16" spans="1:33" x14ac:dyDescent="0.3">
      <c r="A16">
        <v>20660</v>
      </c>
      <c r="B16" t="s">
        <v>1374</v>
      </c>
      <c r="C16" t="s">
        <v>1053</v>
      </c>
      <c r="D16">
        <v>28</v>
      </c>
      <c r="E16">
        <v>0</v>
      </c>
      <c r="F16">
        <v>0</v>
      </c>
      <c r="G16">
        <v>0</v>
      </c>
      <c r="H16">
        <v>28</v>
      </c>
      <c r="I16">
        <v>0</v>
      </c>
      <c r="J16">
        <v>0</v>
      </c>
      <c r="K16">
        <v>0</v>
      </c>
      <c r="L16">
        <v>0</v>
      </c>
      <c r="M16">
        <v>0</v>
      </c>
      <c r="N16">
        <v>0</v>
      </c>
      <c r="O16">
        <v>0</v>
      </c>
      <c r="R16">
        <v>20714</v>
      </c>
      <c r="S16" t="s">
        <v>1174</v>
      </c>
      <c r="T16" t="s">
        <v>1055</v>
      </c>
      <c r="U16">
        <v>4705</v>
      </c>
      <c r="V16">
        <v>195</v>
      </c>
      <c r="W16">
        <v>0.38017390281472796</v>
      </c>
      <c r="X16">
        <v>195</v>
      </c>
      <c r="Y16">
        <v>195</v>
      </c>
      <c r="Z16">
        <v>495</v>
      </c>
      <c r="AA16">
        <v>15</v>
      </c>
      <c r="AB16">
        <v>352</v>
      </c>
      <c r="AC16">
        <v>74</v>
      </c>
      <c r="AD16">
        <v>973</v>
      </c>
      <c r="AE16">
        <v>53</v>
      </c>
      <c r="AF16">
        <v>2885</v>
      </c>
      <c r="AG16">
        <v>53</v>
      </c>
    </row>
    <row r="17" spans="1:33" x14ac:dyDescent="0.3">
      <c r="A17">
        <v>20667</v>
      </c>
      <c r="B17" t="s">
        <v>1375</v>
      </c>
      <c r="C17" t="s">
        <v>1053</v>
      </c>
      <c r="D17">
        <v>712</v>
      </c>
      <c r="E17">
        <v>20</v>
      </c>
      <c r="F17">
        <v>20</v>
      </c>
      <c r="G17">
        <v>20</v>
      </c>
      <c r="H17">
        <v>15</v>
      </c>
      <c r="I17">
        <v>0</v>
      </c>
      <c r="J17">
        <v>188</v>
      </c>
      <c r="K17">
        <v>0</v>
      </c>
      <c r="L17">
        <v>286</v>
      </c>
      <c r="M17">
        <v>20</v>
      </c>
      <c r="N17">
        <v>223</v>
      </c>
      <c r="O17">
        <v>0</v>
      </c>
      <c r="R17">
        <v>20736</v>
      </c>
      <c r="S17" t="s">
        <v>1208</v>
      </c>
      <c r="T17" t="s">
        <v>1055</v>
      </c>
      <c r="U17">
        <v>9395</v>
      </c>
      <c r="V17">
        <v>173</v>
      </c>
      <c r="W17">
        <v>0.42851971704550262</v>
      </c>
      <c r="X17">
        <v>173</v>
      </c>
      <c r="Y17">
        <v>173</v>
      </c>
      <c r="Z17">
        <v>527</v>
      </c>
      <c r="AA17">
        <v>80</v>
      </c>
      <c r="AB17">
        <v>182</v>
      </c>
      <c r="AC17">
        <v>0</v>
      </c>
      <c r="AD17">
        <v>1373</v>
      </c>
      <c r="AE17">
        <v>45</v>
      </c>
      <c r="AF17">
        <v>7313</v>
      </c>
      <c r="AG17">
        <v>48</v>
      </c>
    </row>
    <row r="18" spans="1:33" x14ac:dyDescent="0.3">
      <c r="A18">
        <v>20670</v>
      </c>
      <c r="B18" t="s">
        <v>1376</v>
      </c>
      <c r="C18" t="s">
        <v>1053</v>
      </c>
      <c r="D18">
        <v>1062</v>
      </c>
      <c r="E18">
        <v>0</v>
      </c>
      <c r="F18">
        <v>0</v>
      </c>
      <c r="G18">
        <v>0</v>
      </c>
      <c r="H18">
        <v>182</v>
      </c>
      <c r="I18">
        <v>0</v>
      </c>
      <c r="J18">
        <v>204</v>
      </c>
      <c r="K18">
        <v>0</v>
      </c>
      <c r="L18">
        <v>470</v>
      </c>
      <c r="M18">
        <v>0</v>
      </c>
      <c r="N18">
        <v>206</v>
      </c>
      <c r="O18">
        <v>0</v>
      </c>
      <c r="R18">
        <v>20755</v>
      </c>
      <c r="S18" t="s">
        <v>1197</v>
      </c>
      <c r="T18" t="s">
        <v>996</v>
      </c>
      <c r="U18">
        <v>7186</v>
      </c>
      <c r="V18">
        <v>233</v>
      </c>
      <c r="W18">
        <v>0.31817129205524441</v>
      </c>
      <c r="X18">
        <v>233</v>
      </c>
      <c r="Y18">
        <v>233</v>
      </c>
      <c r="Z18">
        <v>1153</v>
      </c>
      <c r="AA18">
        <v>90</v>
      </c>
      <c r="AB18">
        <v>1303</v>
      </c>
      <c r="AC18">
        <v>15</v>
      </c>
      <c r="AD18">
        <v>2390</v>
      </c>
      <c r="AE18">
        <v>96</v>
      </c>
      <c r="AF18">
        <v>2340</v>
      </c>
      <c r="AG18">
        <v>32</v>
      </c>
    </row>
    <row r="19" spans="1:33" x14ac:dyDescent="0.3">
      <c r="A19">
        <v>20674</v>
      </c>
      <c r="B19" t="s">
        <v>1337</v>
      </c>
      <c r="C19" t="s">
        <v>1053</v>
      </c>
      <c r="D19">
        <v>864</v>
      </c>
      <c r="E19">
        <v>12</v>
      </c>
      <c r="F19">
        <v>12</v>
      </c>
      <c r="G19">
        <v>12</v>
      </c>
      <c r="H19">
        <v>486</v>
      </c>
      <c r="I19">
        <v>0</v>
      </c>
      <c r="J19">
        <v>32</v>
      </c>
      <c r="K19">
        <v>0</v>
      </c>
      <c r="L19">
        <v>37</v>
      </c>
      <c r="M19">
        <v>12</v>
      </c>
      <c r="N19">
        <v>309</v>
      </c>
      <c r="O19">
        <v>0</v>
      </c>
      <c r="R19">
        <v>20759</v>
      </c>
      <c r="S19" t="s">
        <v>1259</v>
      </c>
      <c r="T19" t="s">
        <v>1038</v>
      </c>
      <c r="U19">
        <v>4786</v>
      </c>
      <c r="V19">
        <v>171</v>
      </c>
      <c r="W19">
        <v>0.43353164356065471</v>
      </c>
      <c r="X19">
        <v>171</v>
      </c>
      <c r="Y19">
        <v>171</v>
      </c>
      <c r="Z19">
        <v>280</v>
      </c>
      <c r="AA19">
        <v>22</v>
      </c>
      <c r="AB19">
        <v>72</v>
      </c>
      <c r="AC19">
        <v>0</v>
      </c>
      <c r="AD19">
        <v>595</v>
      </c>
      <c r="AE19">
        <v>94</v>
      </c>
      <c r="AF19">
        <v>3839</v>
      </c>
      <c r="AG19">
        <v>55</v>
      </c>
    </row>
    <row r="20" spans="1:33" x14ac:dyDescent="0.3">
      <c r="A20">
        <v>20680</v>
      </c>
      <c r="B20" t="s">
        <v>1325</v>
      </c>
      <c r="C20" t="s">
        <v>1053</v>
      </c>
      <c r="D20">
        <v>879</v>
      </c>
      <c r="E20">
        <v>27</v>
      </c>
      <c r="F20">
        <v>27</v>
      </c>
      <c r="G20">
        <v>27</v>
      </c>
      <c r="H20">
        <v>43</v>
      </c>
      <c r="I20">
        <v>26</v>
      </c>
      <c r="J20">
        <v>117</v>
      </c>
      <c r="K20">
        <v>0</v>
      </c>
      <c r="L20">
        <v>201</v>
      </c>
      <c r="M20">
        <v>1</v>
      </c>
      <c r="N20">
        <v>518</v>
      </c>
      <c r="O20">
        <v>0</v>
      </c>
      <c r="R20">
        <v>20763</v>
      </c>
      <c r="S20" t="s">
        <v>1205</v>
      </c>
      <c r="T20" t="s">
        <v>1038</v>
      </c>
      <c r="U20">
        <v>2037</v>
      </c>
      <c r="V20">
        <v>160</v>
      </c>
      <c r="W20">
        <v>0.46333694405544967</v>
      </c>
      <c r="X20">
        <v>160</v>
      </c>
      <c r="Y20">
        <v>160</v>
      </c>
      <c r="Z20">
        <v>600</v>
      </c>
      <c r="AA20">
        <v>160</v>
      </c>
      <c r="AB20">
        <v>0</v>
      </c>
      <c r="AC20">
        <v>0</v>
      </c>
      <c r="AD20">
        <v>363</v>
      </c>
      <c r="AE20">
        <v>0</v>
      </c>
      <c r="AF20">
        <v>1074</v>
      </c>
      <c r="AG20">
        <v>0</v>
      </c>
    </row>
    <row r="21" spans="1:33" x14ac:dyDescent="0.3">
      <c r="A21">
        <v>20686</v>
      </c>
      <c r="B21" t="s">
        <v>1377</v>
      </c>
      <c r="C21" t="s">
        <v>1053</v>
      </c>
      <c r="D21">
        <v>48</v>
      </c>
      <c r="E21">
        <v>0</v>
      </c>
      <c r="F21">
        <v>0</v>
      </c>
      <c r="G21">
        <v>0</v>
      </c>
      <c r="H21">
        <v>0</v>
      </c>
      <c r="I21">
        <v>0</v>
      </c>
      <c r="J21">
        <v>0</v>
      </c>
      <c r="K21">
        <v>0</v>
      </c>
      <c r="L21">
        <v>0</v>
      </c>
      <c r="M21">
        <v>0</v>
      </c>
      <c r="N21">
        <v>48</v>
      </c>
      <c r="O21">
        <v>0</v>
      </c>
      <c r="R21">
        <v>20776</v>
      </c>
      <c r="S21" t="s">
        <v>1215</v>
      </c>
      <c r="T21" t="s">
        <v>996</v>
      </c>
      <c r="U21">
        <v>3238</v>
      </c>
      <c r="V21">
        <v>94</v>
      </c>
      <c r="W21">
        <v>0.78865862817948884</v>
      </c>
      <c r="X21">
        <v>94</v>
      </c>
      <c r="Y21">
        <v>94</v>
      </c>
      <c r="Z21">
        <v>468</v>
      </c>
      <c r="AA21">
        <v>65</v>
      </c>
      <c r="AB21">
        <v>102</v>
      </c>
      <c r="AC21">
        <v>13</v>
      </c>
      <c r="AD21">
        <v>1039</v>
      </c>
      <c r="AE21">
        <v>16</v>
      </c>
      <c r="AF21">
        <v>1629</v>
      </c>
      <c r="AG21">
        <v>0</v>
      </c>
    </row>
    <row r="22" spans="1:33" x14ac:dyDescent="0.3">
      <c r="A22">
        <v>20687</v>
      </c>
      <c r="B22" t="s">
        <v>1378</v>
      </c>
      <c r="C22" t="s">
        <v>1053</v>
      </c>
      <c r="D22">
        <v>242</v>
      </c>
      <c r="E22">
        <v>0</v>
      </c>
      <c r="F22">
        <v>0</v>
      </c>
      <c r="G22">
        <v>0</v>
      </c>
      <c r="H22">
        <v>19</v>
      </c>
      <c r="I22">
        <v>0</v>
      </c>
      <c r="J22">
        <v>0</v>
      </c>
      <c r="K22">
        <v>0</v>
      </c>
      <c r="L22">
        <v>91</v>
      </c>
      <c r="M22">
        <v>0</v>
      </c>
      <c r="N22">
        <v>132</v>
      </c>
      <c r="O22">
        <v>0</v>
      </c>
      <c r="R22">
        <v>20777</v>
      </c>
      <c r="S22" t="s">
        <v>1288</v>
      </c>
      <c r="T22" t="s">
        <v>1038</v>
      </c>
      <c r="U22">
        <v>3453</v>
      </c>
      <c r="V22">
        <v>104</v>
      </c>
      <c r="W22">
        <v>0.71282606777761492</v>
      </c>
      <c r="X22">
        <v>104</v>
      </c>
      <c r="Y22">
        <v>104</v>
      </c>
      <c r="Z22">
        <v>111</v>
      </c>
      <c r="AA22">
        <v>0</v>
      </c>
      <c r="AB22">
        <v>46</v>
      </c>
      <c r="AC22">
        <v>0</v>
      </c>
      <c r="AD22">
        <v>257</v>
      </c>
      <c r="AE22">
        <v>0</v>
      </c>
      <c r="AF22">
        <v>3039</v>
      </c>
      <c r="AG22">
        <v>104</v>
      </c>
    </row>
    <row r="23" spans="1:33" x14ac:dyDescent="0.3">
      <c r="A23">
        <v>20688</v>
      </c>
      <c r="B23" t="s">
        <v>1295</v>
      </c>
      <c r="C23" t="s">
        <v>1055</v>
      </c>
      <c r="D23">
        <v>1642</v>
      </c>
      <c r="E23">
        <v>0</v>
      </c>
      <c r="F23">
        <v>0</v>
      </c>
      <c r="G23">
        <v>0</v>
      </c>
      <c r="H23">
        <v>148</v>
      </c>
      <c r="I23">
        <v>0</v>
      </c>
      <c r="J23">
        <v>13</v>
      </c>
      <c r="K23">
        <v>0</v>
      </c>
      <c r="L23">
        <v>456</v>
      </c>
      <c r="M23">
        <v>0</v>
      </c>
      <c r="N23">
        <v>1025</v>
      </c>
      <c r="O23">
        <v>0</v>
      </c>
      <c r="R23">
        <v>20816</v>
      </c>
      <c r="S23" t="s">
        <v>1087</v>
      </c>
      <c r="T23" t="s">
        <v>991</v>
      </c>
      <c r="U23">
        <v>16203</v>
      </c>
      <c r="V23">
        <v>180</v>
      </c>
      <c r="W23">
        <v>0.41185506138262196</v>
      </c>
      <c r="X23">
        <v>180</v>
      </c>
      <c r="Y23">
        <v>180</v>
      </c>
      <c r="Z23">
        <v>408</v>
      </c>
      <c r="AA23">
        <v>10</v>
      </c>
      <c r="AB23">
        <v>76</v>
      </c>
      <c r="AC23">
        <v>5</v>
      </c>
      <c r="AD23">
        <v>1341</v>
      </c>
      <c r="AE23">
        <v>89</v>
      </c>
      <c r="AF23">
        <v>14378</v>
      </c>
      <c r="AG23">
        <v>76</v>
      </c>
    </row>
    <row r="24" spans="1:33" x14ac:dyDescent="0.3">
      <c r="A24">
        <v>20689</v>
      </c>
      <c r="B24" t="s">
        <v>1356</v>
      </c>
      <c r="C24" t="s">
        <v>1055</v>
      </c>
      <c r="D24">
        <v>2120</v>
      </c>
      <c r="E24">
        <v>0</v>
      </c>
      <c r="F24">
        <v>0</v>
      </c>
      <c r="G24">
        <v>0</v>
      </c>
      <c r="H24">
        <v>199</v>
      </c>
      <c r="I24">
        <v>0</v>
      </c>
      <c r="J24">
        <v>26</v>
      </c>
      <c r="K24">
        <v>0</v>
      </c>
      <c r="L24">
        <v>713</v>
      </c>
      <c r="M24">
        <v>0</v>
      </c>
      <c r="N24">
        <v>1182</v>
      </c>
      <c r="O24">
        <v>0</v>
      </c>
      <c r="R24">
        <v>20837</v>
      </c>
      <c r="S24" t="s">
        <v>1189</v>
      </c>
      <c r="T24" t="s">
        <v>991</v>
      </c>
      <c r="U24">
        <v>6251</v>
      </c>
      <c r="V24">
        <v>194</v>
      </c>
      <c r="W24">
        <v>0.38213356210758737</v>
      </c>
      <c r="X24">
        <v>194</v>
      </c>
      <c r="Y24">
        <v>194</v>
      </c>
      <c r="Z24">
        <v>313</v>
      </c>
      <c r="AA24">
        <v>24</v>
      </c>
      <c r="AB24">
        <v>49</v>
      </c>
      <c r="AC24">
        <v>15</v>
      </c>
      <c r="AD24">
        <v>1139</v>
      </c>
      <c r="AE24">
        <v>97</v>
      </c>
      <c r="AF24">
        <v>4750</v>
      </c>
      <c r="AG24">
        <v>58</v>
      </c>
    </row>
    <row r="25" spans="1:33" x14ac:dyDescent="0.3">
      <c r="A25">
        <v>20690</v>
      </c>
      <c r="B25" t="s">
        <v>1354</v>
      </c>
      <c r="C25" t="s">
        <v>1053</v>
      </c>
      <c r="D25">
        <v>897</v>
      </c>
      <c r="E25">
        <v>0</v>
      </c>
      <c r="F25">
        <v>0</v>
      </c>
      <c r="G25">
        <v>0</v>
      </c>
      <c r="H25">
        <v>58</v>
      </c>
      <c r="I25">
        <v>0</v>
      </c>
      <c r="J25">
        <v>0</v>
      </c>
      <c r="K25">
        <v>0</v>
      </c>
      <c r="L25">
        <v>328</v>
      </c>
      <c r="M25">
        <v>0</v>
      </c>
      <c r="N25">
        <v>511</v>
      </c>
      <c r="O25">
        <v>0</v>
      </c>
      <c r="R25">
        <v>20842</v>
      </c>
      <c r="S25" t="s">
        <v>1238</v>
      </c>
      <c r="T25" t="s">
        <v>991</v>
      </c>
      <c r="U25">
        <v>1756</v>
      </c>
      <c r="V25">
        <v>109</v>
      </c>
      <c r="W25">
        <v>0.68012762430157758</v>
      </c>
      <c r="X25">
        <v>109</v>
      </c>
      <c r="Y25">
        <v>109</v>
      </c>
      <c r="Z25">
        <v>122</v>
      </c>
      <c r="AA25">
        <v>13</v>
      </c>
      <c r="AB25">
        <v>47</v>
      </c>
      <c r="AC25">
        <v>20</v>
      </c>
      <c r="AD25">
        <v>424</v>
      </c>
      <c r="AE25">
        <v>26</v>
      </c>
      <c r="AF25">
        <v>1163</v>
      </c>
      <c r="AG25">
        <v>50</v>
      </c>
    </row>
    <row r="26" spans="1:33" x14ac:dyDescent="0.3">
      <c r="A26">
        <v>20692</v>
      </c>
      <c r="B26" t="s">
        <v>1350</v>
      </c>
      <c r="C26" t="s">
        <v>1053</v>
      </c>
      <c r="D26">
        <v>1177</v>
      </c>
      <c r="E26">
        <v>15</v>
      </c>
      <c r="F26">
        <v>15</v>
      </c>
      <c r="G26">
        <v>15</v>
      </c>
      <c r="H26">
        <v>84</v>
      </c>
      <c r="I26">
        <v>0</v>
      </c>
      <c r="J26">
        <v>72</v>
      </c>
      <c r="K26">
        <v>0</v>
      </c>
      <c r="L26">
        <v>534</v>
      </c>
      <c r="M26">
        <v>0</v>
      </c>
      <c r="N26">
        <v>487</v>
      </c>
      <c r="O26">
        <v>15</v>
      </c>
      <c r="R26">
        <v>20860</v>
      </c>
      <c r="S26" t="s">
        <v>1176</v>
      </c>
      <c r="T26" t="s">
        <v>991</v>
      </c>
      <c r="U26">
        <v>2775</v>
      </c>
      <c r="V26">
        <v>148</v>
      </c>
      <c r="W26">
        <v>0.50090480438426999</v>
      </c>
      <c r="X26">
        <v>148</v>
      </c>
      <c r="Y26">
        <v>148</v>
      </c>
      <c r="Z26">
        <v>145</v>
      </c>
      <c r="AA26">
        <v>6</v>
      </c>
      <c r="AB26">
        <v>505</v>
      </c>
      <c r="AC26">
        <v>0</v>
      </c>
      <c r="AD26">
        <v>270</v>
      </c>
      <c r="AE26">
        <v>0</v>
      </c>
      <c r="AF26">
        <v>1855</v>
      </c>
      <c r="AG26">
        <v>142</v>
      </c>
    </row>
    <row r="27" spans="1:33" x14ac:dyDescent="0.3">
      <c r="A27">
        <v>20693</v>
      </c>
      <c r="B27" t="s">
        <v>1360</v>
      </c>
      <c r="C27" t="s">
        <v>1070</v>
      </c>
      <c r="D27">
        <v>1006</v>
      </c>
      <c r="E27">
        <v>11</v>
      </c>
      <c r="F27">
        <v>11</v>
      </c>
      <c r="G27">
        <v>11</v>
      </c>
      <c r="H27">
        <v>40</v>
      </c>
      <c r="I27">
        <v>0</v>
      </c>
      <c r="J27">
        <v>25</v>
      </c>
      <c r="K27">
        <v>0</v>
      </c>
      <c r="L27">
        <v>181</v>
      </c>
      <c r="M27">
        <v>0</v>
      </c>
      <c r="N27">
        <v>760</v>
      </c>
      <c r="O27">
        <v>11</v>
      </c>
      <c r="R27">
        <v>20861</v>
      </c>
      <c r="S27" t="s">
        <v>1291</v>
      </c>
      <c r="T27" t="s">
        <v>991</v>
      </c>
      <c r="U27">
        <v>1843</v>
      </c>
      <c r="V27">
        <v>53</v>
      </c>
      <c r="W27">
        <v>1.3987530386579614</v>
      </c>
      <c r="X27">
        <v>53</v>
      </c>
      <c r="Y27">
        <v>53</v>
      </c>
      <c r="Z27">
        <v>22</v>
      </c>
      <c r="AA27">
        <v>0</v>
      </c>
      <c r="AB27">
        <v>0</v>
      </c>
      <c r="AC27">
        <v>0</v>
      </c>
      <c r="AD27">
        <v>25</v>
      </c>
      <c r="AE27">
        <v>0</v>
      </c>
      <c r="AF27">
        <v>1796</v>
      </c>
      <c r="AG27">
        <v>53</v>
      </c>
    </row>
    <row r="28" spans="1:33" x14ac:dyDescent="0.3">
      <c r="A28">
        <v>20701</v>
      </c>
      <c r="B28" t="s">
        <v>1379</v>
      </c>
      <c r="C28" t="s">
        <v>1038</v>
      </c>
      <c r="D28">
        <v>0</v>
      </c>
      <c r="E28">
        <v>0</v>
      </c>
      <c r="F28">
        <v>0</v>
      </c>
      <c r="G28">
        <v>0</v>
      </c>
      <c r="H28">
        <v>0</v>
      </c>
      <c r="I28">
        <v>0</v>
      </c>
      <c r="J28">
        <v>0</v>
      </c>
      <c r="K28">
        <v>0</v>
      </c>
      <c r="L28">
        <v>0</v>
      </c>
      <c r="M28">
        <v>0</v>
      </c>
      <c r="N28">
        <v>0</v>
      </c>
      <c r="O28">
        <v>0</v>
      </c>
      <c r="R28">
        <v>20868</v>
      </c>
      <c r="S28" t="s">
        <v>1305</v>
      </c>
      <c r="T28" t="s">
        <v>991</v>
      </c>
      <c r="U28">
        <v>701</v>
      </c>
      <c r="V28">
        <v>50</v>
      </c>
      <c r="W28">
        <v>1.482678220977439</v>
      </c>
      <c r="X28">
        <v>50</v>
      </c>
      <c r="Y28">
        <v>50</v>
      </c>
      <c r="Z28">
        <v>0</v>
      </c>
      <c r="AA28">
        <v>0</v>
      </c>
      <c r="AB28">
        <v>0</v>
      </c>
      <c r="AC28">
        <v>0</v>
      </c>
      <c r="AD28">
        <v>111</v>
      </c>
      <c r="AE28">
        <v>30</v>
      </c>
      <c r="AF28">
        <v>590</v>
      </c>
      <c r="AG28">
        <v>20</v>
      </c>
    </row>
    <row r="29" spans="1:33" x14ac:dyDescent="0.3">
      <c r="A29">
        <v>20733</v>
      </c>
      <c r="B29" t="s">
        <v>1326</v>
      </c>
      <c r="C29" t="s">
        <v>996</v>
      </c>
      <c r="D29">
        <v>2909</v>
      </c>
      <c r="E29">
        <v>44</v>
      </c>
      <c r="F29">
        <v>44</v>
      </c>
      <c r="G29">
        <v>44</v>
      </c>
      <c r="H29">
        <v>108</v>
      </c>
      <c r="I29">
        <v>20</v>
      </c>
      <c r="J29">
        <v>65</v>
      </c>
      <c r="K29">
        <v>0</v>
      </c>
      <c r="L29">
        <v>818</v>
      </c>
      <c r="M29">
        <v>24</v>
      </c>
      <c r="N29">
        <v>1918</v>
      </c>
      <c r="O29">
        <v>0</v>
      </c>
      <c r="R29">
        <v>21028</v>
      </c>
      <c r="S29" t="s">
        <v>1260</v>
      </c>
      <c r="T29" t="s">
        <v>1045</v>
      </c>
      <c r="U29">
        <v>2870</v>
      </c>
      <c r="V29">
        <v>63</v>
      </c>
      <c r="W29">
        <v>1.1767287468074914</v>
      </c>
      <c r="X29">
        <v>63</v>
      </c>
      <c r="Y29">
        <v>63</v>
      </c>
      <c r="Z29">
        <v>214</v>
      </c>
      <c r="AA29">
        <v>5</v>
      </c>
      <c r="AB29">
        <v>190</v>
      </c>
      <c r="AC29">
        <v>10</v>
      </c>
      <c r="AD29">
        <v>445</v>
      </c>
      <c r="AE29">
        <v>11</v>
      </c>
      <c r="AF29">
        <v>2021</v>
      </c>
      <c r="AG29">
        <v>37</v>
      </c>
    </row>
    <row r="30" spans="1:33" x14ac:dyDescent="0.3">
      <c r="A30">
        <v>20742</v>
      </c>
      <c r="B30" t="s">
        <v>1034</v>
      </c>
      <c r="C30" t="s">
        <v>989</v>
      </c>
      <c r="D30">
        <v>0</v>
      </c>
      <c r="E30">
        <v>0</v>
      </c>
      <c r="F30">
        <v>0</v>
      </c>
      <c r="G30">
        <v>0</v>
      </c>
      <c r="H30">
        <v>0</v>
      </c>
      <c r="I30">
        <v>0</v>
      </c>
      <c r="J30">
        <v>0</v>
      </c>
      <c r="K30">
        <v>0</v>
      </c>
      <c r="L30">
        <v>0</v>
      </c>
      <c r="M30">
        <v>0</v>
      </c>
      <c r="N30">
        <v>0</v>
      </c>
      <c r="O30">
        <v>0</v>
      </c>
      <c r="R30">
        <v>21034</v>
      </c>
      <c r="S30" t="s">
        <v>1201</v>
      </c>
      <c r="T30" t="s">
        <v>1045</v>
      </c>
      <c r="U30">
        <v>3392</v>
      </c>
      <c r="V30">
        <v>211</v>
      </c>
      <c r="W30">
        <v>0.35134554999465378</v>
      </c>
      <c r="X30">
        <v>211</v>
      </c>
      <c r="Y30">
        <v>211</v>
      </c>
      <c r="Z30">
        <v>562</v>
      </c>
      <c r="AA30">
        <v>64</v>
      </c>
      <c r="AB30">
        <v>216</v>
      </c>
      <c r="AC30">
        <v>0</v>
      </c>
      <c r="AD30">
        <v>839</v>
      </c>
      <c r="AE30">
        <v>60</v>
      </c>
      <c r="AF30">
        <v>1775</v>
      </c>
      <c r="AG30">
        <v>87</v>
      </c>
    </row>
    <row r="31" spans="1:33" x14ac:dyDescent="0.3">
      <c r="A31">
        <v>20751</v>
      </c>
      <c r="B31" t="s">
        <v>1292</v>
      </c>
      <c r="C31" t="s">
        <v>996</v>
      </c>
      <c r="D31">
        <v>2394</v>
      </c>
      <c r="E31">
        <v>25</v>
      </c>
      <c r="F31">
        <v>25</v>
      </c>
      <c r="G31">
        <v>25</v>
      </c>
      <c r="H31">
        <v>374</v>
      </c>
      <c r="I31">
        <v>4</v>
      </c>
      <c r="J31">
        <v>147</v>
      </c>
      <c r="K31">
        <v>0</v>
      </c>
      <c r="L31">
        <v>561</v>
      </c>
      <c r="M31">
        <v>11</v>
      </c>
      <c r="N31">
        <v>1312</v>
      </c>
      <c r="O31">
        <v>10</v>
      </c>
      <c r="R31">
        <v>21035</v>
      </c>
      <c r="S31" t="s">
        <v>1237</v>
      </c>
      <c r="T31" t="s">
        <v>996</v>
      </c>
      <c r="U31">
        <v>7922</v>
      </c>
      <c r="V31">
        <v>71</v>
      </c>
      <c r="W31">
        <v>1.0441395922376331</v>
      </c>
      <c r="X31">
        <v>71</v>
      </c>
      <c r="Y31">
        <v>71</v>
      </c>
      <c r="Z31">
        <v>129</v>
      </c>
      <c r="AA31">
        <v>17</v>
      </c>
      <c r="AB31">
        <v>105</v>
      </c>
      <c r="AC31">
        <v>10</v>
      </c>
      <c r="AD31">
        <v>1437</v>
      </c>
      <c r="AE31">
        <v>15</v>
      </c>
      <c r="AF31">
        <v>6251</v>
      </c>
      <c r="AG31">
        <v>29</v>
      </c>
    </row>
    <row r="32" spans="1:33" x14ac:dyDescent="0.3">
      <c r="A32">
        <v>20758</v>
      </c>
      <c r="B32" t="s">
        <v>1335</v>
      </c>
      <c r="C32" t="s">
        <v>996</v>
      </c>
      <c r="D32">
        <v>472</v>
      </c>
      <c r="E32">
        <v>0</v>
      </c>
      <c r="F32">
        <v>0</v>
      </c>
      <c r="G32">
        <v>0</v>
      </c>
      <c r="H32">
        <v>56</v>
      </c>
      <c r="I32">
        <v>0</v>
      </c>
      <c r="J32">
        <v>9</v>
      </c>
      <c r="K32">
        <v>0</v>
      </c>
      <c r="L32">
        <v>62</v>
      </c>
      <c r="M32">
        <v>0</v>
      </c>
      <c r="N32">
        <v>345</v>
      </c>
      <c r="O32">
        <v>0</v>
      </c>
      <c r="R32">
        <v>21052</v>
      </c>
      <c r="S32" t="s">
        <v>1265</v>
      </c>
      <c r="T32" t="s">
        <v>992</v>
      </c>
      <c r="U32">
        <v>257</v>
      </c>
      <c r="V32">
        <v>85</v>
      </c>
      <c r="W32">
        <v>0.8721636593984935</v>
      </c>
      <c r="X32">
        <v>85</v>
      </c>
      <c r="Y32">
        <v>85</v>
      </c>
      <c r="Z32">
        <v>6</v>
      </c>
      <c r="AA32">
        <v>0</v>
      </c>
      <c r="AB32">
        <v>91</v>
      </c>
      <c r="AC32">
        <v>69</v>
      </c>
      <c r="AD32">
        <v>22</v>
      </c>
      <c r="AE32">
        <v>0</v>
      </c>
      <c r="AF32">
        <v>138</v>
      </c>
      <c r="AG32">
        <v>16</v>
      </c>
    </row>
    <row r="33" spans="1:33" x14ac:dyDescent="0.3">
      <c r="A33">
        <v>20762</v>
      </c>
      <c r="B33" t="s">
        <v>1334</v>
      </c>
      <c r="C33" t="s">
        <v>989</v>
      </c>
      <c r="D33">
        <v>2284</v>
      </c>
      <c r="E33">
        <v>16</v>
      </c>
      <c r="F33">
        <v>16</v>
      </c>
      <c r="G33">
        <v>16</v>
      </c>
      <c r="H33">
        <v>442</v>
      </c>
      <c r="I33">
        <v>0</v>
      </c>
      <c r="J33">
        <v>286</v>
      </c>
      <c r="K33">
        <v>0</v>
      </c>
      <c r="L33">
        <v>868</v>
      </c>
      <c r="M33">
        <v>0</v>
      </c>
      <c r="N33">
        <v>688</v>
      </c>
      <c r="O33">
        <v>16</v>
      </c>
      <c r="R33">
        <v>21057</v>
      </c>
      <c r="S33" t="s">
        <v>1280</v>
      </c>
      <c r="T33" t="s">
        <v>992</v>
      </c>
      <c r="U33">
        <v>3825</v>
      </c>
      <c r="V33">
        <v>55</v>
      </c>
      <c r="W33">
        <v>1.3478892917976719</v>
      </c>
      <c r="X33">
        <v>55</v>
      </c>
      <c r="Y33">
        <v>55</v>
      </c>
      <c r="Z33">
        <v>131</v>
      </c>
      <c r="AA33">
        <v>10</v>
      </c>
      <c r="AB33">
        <v>184</v>
      </c>
      <c r="AC33">
        <v>0</v>
      </c>
      <c r="AD33">
        <v>645</v>
      </c>
      <c r="AE33">
        <v>0</v>
      </c>
      <c r="AF33">
        <v>2865</v>
      </c>
      <c r="AG33">
        <v>45</v>
      </c>
    </row>
    <row r="34" spans="1:33" x14ac:dyDescent="0.3">
      <c r="A34">
        <v>20765</v>
      </c>
      <c r="B34" t="s">
        <v>1315</v>
      </c>
      <c r="C34" t="s">
        <v>996</v>
      </c>
      <c r="D34">
        <v>434</v>
      </c>
      <c r="E34">
        <v>37</v>
      </c>
      <c r="F34">
        <v>37</v>
      </c>
      <c r="G34">
        <v>37</v>
      </c>
      <c r="H34">
        <v>55</v>
      </c>
      <c r="I34">
        <v>29</v>
      </c>
      <c r="J34">
        <v>70</v>
      </c>
      <c r="K34">
        <v>0</v>
      </c>
      <c r="L34">
        <v>60</v>
      </c>
      <c r="M34">
        <v>0</v>
      </c>
      <c r="N34">
        <v>249</v>
      </c>
      <c r="O34">
        <v>8</v>
      </c>
      <c r="R34">
        <v>21087</v>
      </c>
      <c r="S34" t="s">
        <v>1169</v>
      </c>
      <c r="T34" t="s">
        <v>992</v>
      </c>
      <c r="U34">
        <v>5531</v>
      </c>
      <c r="V34">
        <v>187</v>
      </c>
      <c r="W34">
        <v>0.39643802699931524</v>
      </c>
      <c r="X34">
        <v>187</v>
      </c>
      <c r="Y34">
        <v>187</v>
      </c>
      <c r="Z34">
        <v>352</v>
      </c>
      <c r="AA34">
        <v>18</v>
      </c>
      <c r="AB34">
        <v>386</v>
      </c>
      <c r="AC34">
        <v>14</v>
      </c>
      <c r="AD34">
        <v>947</v>
      </c>
      <c r="AE34">
        <v>24</v>
      </c>
      <c r="AF34">
        <v>3846</v>
      </c>
      <c r="AG34">
        <v>131</v>
      </c>
    </row>
    <row r="35" spans="1:33" x14ac:dyDescent="0.3">
      <c r="A35">
        <v>20778</v>
      </c>
      <c r="B35" t="s">
        <v>1270</v>
      </c>
      <c r="C35" t="s">
        <v>996</v>
      </c>
      <c r="D35">
        <v>1810</v>
      </c>
      <c r="E35">
        <v>46</v>
      </c>
      <c r="F35">
        <v>46</v>
      </c>
      <c r="G35">
        <v>46</v>
      </c>
      <c r="H35">
        <v>296</v>
      </c>
      <c r="I35">
        <v>0</v>
      </c>
      <c r="J35">
        <v>61</v>
      </c>
      <c r="K35">
        <v>0</v>
      </c>
      <c r="L35">
        <v>372</v>
      </c>
      <c r="M35">
        <v>29</v>
      </c>
      <c r="N35">
        <v>1081</v>
      </c>
      <c r="O35">
        <v>17</v>
      </c>
      <c r="R35">
        <v>21102</v>
      </c>
      <c r="S35" t="s">
        <v>1190</v>
      </c>
      <c r="T35" t="s">
        <v>1041</v>
      </c>
      <c r="U35">
        <v>10531</v>
      </c>
      <c r="V35">
        <v>220</v>
      </c>
      <c r="W35">
        <v>0.33697232294941798</v>
      </c>
      <c r="X35">
        <v>220</v>
      </c>
      <c r="Y35">
        <v>220</v>
      </c>
      <c r="Z35">
        <v>629</v>
      </c>
      <c r="AA35">
        <v>42</v>
      </c>
      <c r="AB35">
        <v>374</v>
      </c>
      <c r="AC35">
        <v>0</v>
      </c>
      <c r="AD35">
        <v>3213</v>
      </c>
      <c r="AE35">
        <v>106</v>
      </c>
      <c r="AF35">
        <v>6315</v>
      </c>
      <c r="AG35">
        <v>72</v>
      </c>
    </row>
    <row r="36" spans="1:33" x14ac:dyDescent="0.3">
      <c r="A36">
        <v>20779</v>
      </c>
      <c r="B36" t="s">
        <v>1319</v>
      </c>
      <c r="C36" t="s">
        <v>996</v>
      </c>
      <c r="D36">
        <v>1112</v>
      </c>
      <c r="E36">
        <v>35</v>
      </c>
      <c r="F36">
        <v>35</v>
      </c>
      <c r="G36">
        <v>35</v>
      </c>
      <c r="H36">
        <v>157</v>
      </c>
      <c r="I36">
        <v>21</v>
      </c>
      <c r="J36">
        <v>14</v>
      </c>
      <c r="K36">
        <v>0</v>
      </c>
      <c r="L36">
        <v>104</v>
      </c>
      <c r="M36">
        <v>0</v>
      </c>
      <c r="N36">
        <v>837</v>
      </c>
      <c r="O36">
        <v>14</v>
      </c>
      <c r="R36">
        <v>21104</v>
      </c>
      <c r="S36" t="s">
        <v>1263</v>
      </c>
      <c r="T36" t="s">
        <v>1041</v>
      </c>
      <c r="U36">
        <v>4748</v>
      </c>
      <c r="V36">
        <v>111</v>
      </c>
      <c r="W36">
        <v>0.66787307251235994</v>
      </c>
      <c r="X36">
        <v>111</v>
      </c>
      <c r="Y36">
        <v>111</v>
      </c>
      <c r="Z36">
        <v>57</v>
      </c>
      <c r="AA36">
        <v>0</v>
      </c>
      <c r="AB36">
        <v>90</v>
      </c>
      <c r="AC36">
        <v>7</v>
      </c>
      <c r="AD36">
        <v>684</v>
      </c>
      <c r="AE36">
        <v>50</v>
      </c>
      <c r="AF36">
        <v>3917</v>
      </c>
      <c r="AG36">
        <v>54</v>
      </c>
    </row>
    <row r="37" spans="1:33" x14ac:dyDescent="0.3">
      <c r="A37">
        <v>20812</v>
      </c>
      <c r="B37" t="s">
        <v>1359</v>
      </c>
      <c r="C37" t="s">
        <v>991</v>
      </c>
      <c r="D37">
        <v>341</v>
      </c>
      <c r="E37">
        <v>8</v>
      </c>
      <c r="F37">
        <v>8</v>
      </c>
      <c r="G37">
        <v>8</v>
      </c>
      <c r="H37">
        <v>13</v>
      </c>
      <c r="I37">
        <v>1</v>
      </c>
      <c r="J37">
        <v>4</v>
      </c>
      <c r="K37">
        <v>3</v>
      </c>
      <c r="L37">
        <v>27</v>
      </c>
      <c r="M37">
        <v>0</v>
      </c>
      <c r="N37">
        <v>297</v>
      </c>
      <c r="O37">
        <v>4</v>
      </c>
      <c r="R37">
        <v>21111</v>
      </c>
      <c r="S37" t="s">
        <v>1252</v>
      </c>
      <c r="T37" t="s">
        <v>992</v>
      </c>
      <c r="U37">
        <v>4764</v>
      </c>
      <c r="V37">
        <v>80</v>
      </c>
      <c r="W37">
        <v>0.92667388811089935</v>
      </c>
      <c r="X37">
        <v>80</v>
      </c>
      <c r="Y37">
        <v>80</v>
      </c>
      <c r="Z37">
        <v>109</v>
      </c>
      <c r="AA37">
        <v>0</v>
      </c>
      <c r="AB37">
        <v>222</v>
      </c>
      <c r="AC37">
        <v>19</v>
      </c>
      <c r="AD37">
        <v>614</v>
      </c>
      <c r="AE37">
        <v>18</v>
      </c>
      <c r="AF37">
        <v>3819</v>
      </c>
      <c r="AG37">
        <v>43</v>
      </c>
    </row>
    <row r="38" spans="1:33" x14ac:dyDescent="0.3">
      <c r="A38">
        <v>20818</v>
      </c>
      <c r="B38" t="s">
        <v>1298</v>
      </c>
      <c r="C38" t="s">
        <v>991</v>
      </c>
      <c r="D38">
        <v>2006</v>
      </c>
      <c r="E38">
        <v>44</v>
      </c>
      <c r="F38">
        <v>44</v>
      </c>
      <c r="G38">
        <v>44</v>
      </c>
      <c r="H38">
        <v>96</v>
      </c>
      <c r="I38">
        <v>17</v>
      </c>
      <c r="J38">
        <v>27</v>
      </c>
      <c r="K38">
        <v>0</v>
      </c>
      <c r="L38">
        <v>193</v>
      </c>
      <c r="M38">
        <v>10</v>
      </c>
      <c r="N38">
        <v>1690</v>
      </c>
      <c r="O38">
        <v>17</v>
      </c>
      <c r="R38">
        <v>21120</v>
      </c>
      <c r="S38" t="s">
        <v>1242</v>
      </c>
      <c r="T38" t="s">
        <v>992</v>
      </c>
      <c r="U38">
        <v>7249</v>
      </c>
      <c r="V38">
        <v>133</v>
      </c>
      <c r="W38">
        <v>0.55739782743512745</v>
      </c>
      <c r="X38">
        <v>133</v>
      </c>
      <c r="Y38">
        <v>133</v>
      </c>
      <c r="Z38">
        <v>505</v>
      </c>
      <c r="AA38">
        <v>0</v>
      </c>
      <c r="AB38">
        <v>183</v>
      </c>
      <c r="AC38">
        <v>0</v>
      </c>
      <c r="AD38">
        <v>1246</v>
      </c>
      <c r="AE38">
        <v>53</v>
      </c>
      <c r="AF38">
        <v>5315</v>
      </c>
      <c r="AG38">
        <v>80</v>
      </c>
    </row>
    <row r="39" spans="1:33" x14ac:dyDescent="0.3">
      <c r="A39">
        <v>20838</v>
      </c>
      <c r="B39" t="s">
        <v>1369</v>
      </c>
      <c r="C39" t="s">
        <v>991</v>
      </c>
      <c r="D39">
        <v>234</v>
      </c>
      <c r="E39">
        <v>6</v>
      </c>
      <c r="F39">
        <v>6</v>
      </c>
      <c r="G39">
        <v>6</v>
      </c>
      <c r="H39">
        <v>11</v>
      </c>
      <c r="I39">
        <v>4</v>
      </c>
      <c r="J39">
        <v>0</v>
      </c>
      <c r="K39">
        <v>0</v>
      </c>
      <c r="L39">
        <v>15</v>
      </c>
      <c r="M39">
        <v>0</v>
      </c>
      <c r="N39">
        <v>208</v>
      </c>
      <c r="O39">
        <v>2</v>
      </c>
      <c r="R39">
        <v>21130</v>
      </c>
      <c r="S39" t="s">
        <v>1308</v>
      </c>
      <c r="T39" t="s">
        <v>1045</v>
      </c>
      <c r="U39">
        <v>318</v>
      </c>
      <c r="V39">
        <v>101</v>
      </c>
      <c r="W39">
        <v>0.73399911929576189</v>
      </c>
      <c r="X39">
        <v>101</v>
      </c>
      <c r="Y39">
        <v>101</v>
      </c>
      <c r="Z39">
        <v>53</v>
      </c>
      <c r="AA39">
        <v>0</v>
      </c>
      <c r="AB39">
        <v>64</v>
      </c>
      <c r="AC39">
        <v>47</v>
      </c>
      <c r="AD39">
        <v>74</v>
      </c>
      <c r="AE39">
        <v>0</v>
      </c>
      <c r="AF39">
        <v>127</v>
      </c>
      <c r="AG39">
        <v>54</v>
      </c>
    </row>
    <row r="40" spans="1:33" x14ac:dyDescent="0.3">
      <c r="A40">
        <v>20839</v>
      </c>
      <c r="B40" t="s">
        <v>1367</v>
      </c>
      <c r="C40" t="s">
        <v>991</v>
      </c>
      <c r="D40">
        <v>100</v>
      </c>
      <c r="E40">
        <v>3</v>
      </c>
      <c r="F40">
        <v>3</v>
      </c>
      <c r="G40">
        <v>3</v>
      </c>
      <c r="H40">
        <v>3</v>
      </c>
      <c r="I40">
        <v>3</v>
      </c>
      <c r="J40">
        <v>0</v>
      </c>
      <c r="K40">
        <v>0</v>
      </c>
      <c r="L40">
        <v>5</v>
      </c>
      <c r="M40">
        <v>0</v>
      </c>
      <c r="N40">
        <v>92</v>
      </c>
      <c r="O40">
        <v>0</v>
      </c>
      <c r="R40">
        <v>21131</v>
      </c>
      <c r="S40" t="s">
        <v>1240</v>
      </c>
      <c r="T40" t="s">
        <v>992</v>
      </c>
      <c r="U40">
        <v>7426</v>
      </c>
      <c r="V40">
        <v>88</v>
      </c>
      <c r="W40">
        <v>0.84243080737354492</v>
      </c>
      <c r="X40">
        <v>88</v>
      </c>
      <c r="Y40">
        <v>88</v>
      </c>
      <c r="Z40">
        <v>343</v>
      </c>
      <c r="AA40">
        <v>6</v>
      </c>
      <c r="AB40">
        <v>285</v>
      </c>
      <c r="AC40">
        <v>0</v>
      </c>
      <c r="AD40">
        <v>1138</v>
      </c>
      <c r="AE40">
        <v>17</v>
      </c>
      <c r="AF40">
        <v>5660</v>
      </c>
      <c r="AG40">
        <v>65</v>
      </c>
    </row>
    <row r="41" spans="1:33" x14ac:dyDescent="0.3">
      <c r="A41">
        <v>20862</v>
      </c>
      <c r="B41" t="s">
        <v>1380</v>
      </c>
      <c r="C41" t="s">
        <v>991</v>
      </c>
      <c r="D41">
        <v>292</v>
      </c>
      <c r="E41">
        <v>0</v>
      </c>
      <c r="F41">
        <v>0</v>
      </c>
      <c r="G41">
        <v>0</v>
      </c>
      <c r="H41">
        <v>0</v>
      </c>
      <c r="I41">
        <v>0</v>
      </c>
      <c r="J41">
        <v>0</v>
      </c>
      <c r="K41">
        <v>0</v>
      </c>
      <c r="L41">
        <v>64</v>
      </c>
      <c r="M41">
        <v>0</v>
      </c>
      <c r="N41">
        <v>228</v>
      </c>
      <c r="O41">
        <v>0</v>
      </c>
      <c r="R41">
        <v>21132</v>
      </c>
      <c r="S41" t="s">
        <v>1255</v>
      </c>
      <c r="T41" t="s">
        <v>1045</v>
      </c>
      <c r="U41">
        <v>2925</v>
      </c>
      <c r="V41">
        <v>83</v>
      </c>
      <c r="W41">
        <v>0.89317965119122833</v>
      </c>
      <c r="X41">
        <v>83</v>
      </c>
      <c r="Y41">
        <v>83</v>
      </c>
      <c r="Z41">
        <v>92</v>
      </c>
      <c r="AA41">
        <v>0</v>
      </c>
      <c r="AB41">
        <v>174</v>
      </c>
      <c r="AC41">
        <v>15</v>
      </c>
      <c r="AD41">
        <v>615</v>
      </c>
      <c r="AE41">
        <v>63</v>
      </c>
      <c r="AF41">
        <v>2044</v>
      </c>
      <c r="AG41">
        <v>5</v>
      </c>
    </row>
    <row r="42" spans="1:33" x14ac:dyDescent="0.3">
      <c r="A42">
        <v>20880</v>
      </c>
      <c r="B42" t="s">
        <v>1361</v>
      </c>
      <c r="C42" t="s">
        <v>991</v>
      </c>
      <c r="D42">
        <v>521</v>
      </c>
      <c r="E42">
        <v>10</v>
      </c>
      <c r="F42">
        <v>10</v>
      </c>
      <c r="G42">
        <v>10</v>
      </c>
      <c r="H42">
        <v>66</v>
      </c>
      <c r="I42">
        <v>0</v>
      </c>
      <c r="J42">
        <v>3</v>
      </c>
      <c r="K42">
        <v>0</v>
      </c>
      <c r="L42">
        <v>32</v>
      </c>
      <c r="M42">
        <v>3</v>
      </c>
      <c r="N42">
        <v>420</v>
      </c>
      <c r="O42">
        <v>7</v>
      </c>
      <c r="R42">
        <v>21140</v>
      </c>
      <c r="S42" t="s">
        <v>1221</v>
      </c>
      <c r="T42" t="s">
        <v>996</v>
      </c>
      <c r="U42">
        <v>3181</v>
      </c>
      <c r="V42">
        <v>130</v>
      </c>
      <c r="W42">
        <v>0.57026085422209194</v>
      </c>
      <c r="X42">
        <v>130</v>
      </c>
      <c r="Y42">
        <v>130</v>
      </c>
      <c r="Z42">
        <v>170</v>
      </c>
      <c r="AA42">
        <v>12</v>
      </c>
      <c r="AB42">
        <v>117</v>
      </c>
      <c r="AC42">
        <v>0</v>
      </c>
      <c r="AD42">
        <v>631</v>
      </c>
      <c r="AE42">
        <v>30</v>
      </c>
      <c r="AF42">
        <v>2263</v>
      </c>
      <c r="AG42">
        <v>88</v>
      </c>
    </row>
    <row r="43" spans="1:33" x14ac:dyDescent="0.3">
      <c r="A43">
        <v>20896</v>
      </c>
      <c r="B43" t="s">
        <v>1343</v>
      </c>
      <c r="C43" t="s">
        <v>991</v>
      </c>
      <c r="D43">
        <v>931</v>
      </c>
      <c r="E43">
        <v>11</v>
      </c>
      <c r="F43">
        <v>11</v>
      </c>
      <c r="G43">
        <v>11</v>
      </c>
      <c r="H43">
        <v>67</v>
      </c>
      <c r="I43">
        <v>3</v>
      </c>
      <c r="J43">
        <v>7</v>
      </c>
      <c r="K43">
        <v>0</v>
      </c>
      <c r="L43">
        <v>89</v>
      </c>
      <c r="M43">
        <v>0</v>
      </c>
      <c r="N43">
        <v>768</v>
      </c>
      <c r="O43">
        <v>8</v>
      </c>
      <c r="R43">
        <v>21155</v>
      </c>
      <c r="S43" t="s">
        <v>1229</v>
      </c>
      <c r="T43" t="s">
        <v>992</v>
      </c>
      <c r="U43">
        <v>2776</v>
      </c>
      <c r="V43">
        <v>135</v>
      </c>
      <c r="W43">
        <v>0.54914008184349594</v>
      </c>
      <c r="X43">
        <v>135</v>
      </c>
      <c r="Y43">
        <v>135</v>
      </c>
      <c r="Z43">
        <v>271</v>
      </c>
      <c r="AA43">
        <v>0</v>
      </c>
      <c r="AB43">
        <v>285</v>
      </c>
      <c r="AC43">
        <v>114</v>
      </c>
      <c r="AD43">
        <v>550</v>
      </c>
      <c r="AE43">
        <v>0</v>
      </c>
      <c r="AF43">
        <v>1670</v>
      </c>
      <c r="AG43">
        <v>21</v>
      </c>
    </row>
    <row r="44" spans="1:33" x14ac:dyDescent="0.3">
      <c r="A44">
        <v>20899</v>
      </c>
      <c r="B44" t="s">
        <v>994</v>
      </c>
      <c r="C44" t="s">
        <v>991</v>
      </c>
      <c r="D44">
        <v>253</v>
      </c>
      <c r="E44">
        <v>41</v>
      </c>
      <c r="F44">
        <v>41</v>
      </c>
      <c r="G44">
        <v>41</v>
      </c>
      <c r="H44">
        <v>102</v>
      </c>
      <c r="I44">
        <v>21</v>
      </c>
      <c r="J44">
        <v>38</v>
      </c>
      <c r="K44">
        <v>20</v>
      </c>
      <c r="L44">
        <v>69</v>
      </c>
      <c r="M44">
        <v>0</v>
      </c>
      <c r="N44">
        <v>44</v>
      </c>
      <c r="O44">
        <v>0</v>
      </c>
      <c r="R44">
        <v>21160</v>
      </c>
      <c r="S44" t="s">
        <v>1241</v>
      </c>
      <c r="T44" t="s">
        <v>1045</v>
      </c>
      <c r="U44">
        <v>2839</v>
      </c>
      <c r="V44">
        <v>136</v>
      </c>
      <c r="W44">
        <v>0.5451022871240585</v>
      </c>
      <c r="X44">
        <v>136</v>
      </c>
      <c r="Y44">
        <v>136</v>
      </c>
      <c r="Z44">
        <v>712</v>
      </c>
      <c r="AA44">
        <v>73</v>
      </c>
      <c r="AB44">
        <v>49</v>
      </c>
      <c r="AC44">
        <v>0</v>
      </c>
      <c r="AD44">
        <v>717</v>
      </c>
      <c r="AE44">
        <v>63</v>
      </c>
      <c r="AF44">
        <v>1361</v>
      </c>
      <c r="AG44">
        <v>0</v>
      </c>
    </row>
    <row r="45" spans="1:33" x14ac:dyDescent="0.3">
      <c r="A45">
        <v>21005</v>
      </c>
      <c r="B45" t="s">
        <v>1368</v>
      </c>
      <c r="C45" t="s">
        <v>1045</v>
      </c>
      <c r="D45">
        <v>1912</v>
      </c>
      <c r="E45">
        <v>12</v>
      </c>
      <c r="F45">
        <v>12</v>
      </c>
      <c r="G45">
        <v>12</v>
      </c>
      <c r="H45">
        <v>469</v>
      </c>
      <c r="I45">
        <v>1</v>
      </c>
      <c r="J45">
        <v>251</v>
      </c>
      <c r="K45">
        <v>0</v>
      </c>
      <c r="L45">
        <v>472</v>
      </c>
      <c r="M45">
        <v>0</v>
      </c>
      <c r="N45">
        <v>720</v>
      </c>
      <c r="O45">
        <v>11</v>
      </c>
      <c r="R45">
        <v>21161</v>
      </c>
      <c r="S45" t="s">
        <v>1224</v>
      </c>
      <c r="T45" t="s">
        <v>1045</v>
      </c>
      <c r="U45">
        <v>5524</v>
      </c>
      <c r="V45">
        <v>96</v>
      </c>
      <c r="W45">
        <v>0.7722282400924162</v>
      </c>
      <c r="X45">
        <v>96</v>
      </c>
      <c r="Y45">
        <v>96</v>
      </c>
      <c r="Z45">
        <v>296</v>
      </c>
      <c r="AA45">
        <v>34</v>
      </c>
      <c r="AB45">
        <v>263</v>
      </c>
      <c r="AC45">
        <v>8</v>
      </c>
      <c r="AD45">
        <v>1303</v>
      </c>
      <c r="AE45">
        <v>37</v>
      </c>
      <c r="AF45">
        <v>3662</v>
      </c>
      <c r="AG45">
        <v>17</v>
      </c>
    </row>
    <row r="46" spans="1:33" x14ac:dyDescent="0.3">
      <c r="A46">
        <v>21010</v>
      </c>
      <c r="B46" t="s">
        <v>1381</v>
      </c>
      <c r="C46" t="s">
        <v>1045</v>
      </c>
      <c r="D46">
        <v>99</v>
      </c>
      <c r="E46">
        <v>0</v>
      </c>
      <c r="F46">
        <v>0</v>
      </c>
      <c r="G46">
        <v>0</v>
      </c>
      <c r="H46">
        <v>13</v>
      </c>
      <c r="I46">
        <v>0</v>
      </c>
      <c r="J46">
        <v>32</v>
      </c>
      <c r="K46">
        <v>0</v>
      </c>
      <c r="L46">
        <v>2</v>
      </c>
      <c r="M46">
        <v>0</v>
      </c>
      <c r="N46">
        <v>52</v>
      </c>
      <c r="O46">
        <v>0</v>
      </c>
      <c r="R46">
        <v>21162</v>
      </c>
      <c r="S46" t="s">
        <v>1217</v>
      </c>
      <c r="T46" t="s">
        <v>992</v>
      </c>
      <c r="U46">
        <v>4057</v>
      </c>
      <c r="V46">
        <v>209</v>
      </c>
      <c r="W46">
        <v>0.35470770836780841</v>
      </c>
      <c r="X46">
        <v>209</v>
      </c>
      <c r="Y46">
        <v>209</v>
      </c>
      <c r="Z46">
        <v>359</v>
      </c>
      <c r="AA46">
        <v>61</v>
      </c>
      <c r="AB46">
        <v>145</v>
      </c>
      <c r="AC46">
        <v>31</v>
      </c>
      <c r="AD46">
        <v>900</v>
      </c>
      <c r="AE46">
        <v>36</v>
      </c>
      <c r="AF46">
        <v>2653</v>
      </c>
      <c r="AG46">
        <v>81</v>
      </c>
    </row>
    <row r="47" spans="1:33" x14ac:dyDescent="0.3">
      <c r="A47">
        <v>21013</v>
      </c>
      <c r="B47" t="s">
        <v>1330</v>
      </c>
      <c r="C47" t="s">
        <v>992</v>
      </c>
      <c r="D47">
        <v>4930</v>
      </c>
      <c r="E47">
        <v>43</v>
      </c>
      <c r="F47">
        <v>43</v>
      </c>
      <c r="G47">
        <v>43</v>
      </c>
      <c r="H47">
        <v>88</v>
      </c>
      <c r="I47">
        <v>0</v>
      </c>
      <c r="J47">
        <v>153</v>
      </c>
      <c r="K47">
        <v>0</v>
      </c>
      <c r="L47">
        <v>841</v>
      </c>
      <c r="M47">
        <v>35</v>
      </c>
      <c r="N47">
        <v>3848</v>
      </c>
      <c r="O47">
        <v>8</v>
      </c>
      <c r="R47">
        <v>21520</v>
      </c>
      <c r="S47" t="s">
        <v>1244</v>
      </c>
      <c r="T47" t="s">
        <v>1064</v>
      </c>
      <c r="U47">
        <v>2230</v>
      </c>
      <c r="V47">
        <v>165</v>
      </c>
      <c r="W47">
        <v>0.44929643059922397</v>
      </c>
      <c r="X47">
        <v>165</v>
      </c>
      <c r="Y47">
        <v>165</v>
      </c>
      <c r="Z47">
        <v>659</v>
      </c>
      <c r="AA47">
        <v>47</v>
      </c>
      <c r="AB47">
        <v>176</v>
      </c>
      <c r="AC47">
        <v>45</v>
      </c>
      <c r="AD47">
        <v>755</v>
      </c>
      <c r="AE47">
        <v>16</v>
      </c>
      <c r="AF47">
        <v>640</v>
      </c>
      <c r="AG47">
        <v>57</v>
      </c>
    </row>
    <row r="48" spans="1:33" x14ac:dyDescent="0.3">
      <c r="A48">
        <v>21031</v>
      </c>
      <c r="B48" t="s">
        <v>1382</v>
      </c>
      <c r="C48" t="s">
        <v>992</v>
      </c>
      <c r="D48">
        <v>0</v>
      </c>
      <c r="E48">
        <v>0</v>
      </c>
      <c r="F48">
        <v>0</v>
      </c>
      <c r="G48">
        <v>0</v>
      </c>
      <c r="H48">
        <v>0</v>
      </c>
      <c r="I48">
        <v>0</v>
      </c>
      <c r="J48">
        <v>0</v>
      </c>
      <c r="K48">
        <v>0</v>
      </c>
      <c r="L48">
        <v>0</v>
      </c>
      <c r="M48">
        <v>0</v>
      </c>
      <c r="N48">
        <v>0</v>
      </c>
      <c r="O48">
        <v>0</v>
      </c>
      <c r="R48">
        <v>21530</v>
      </c>
      <c r="S48" t="s">
        <v>1214</v>
      </c>
      <c r="T48" t="s">
        <v>1032</v>
      </c>
      <c r="U48">
        <v>1640</v>
      </c>
      <c r="V48">
        <v>188</v>
      </c>
      <c r="W48">
        <v>0.39432931408974442</v>
      </c>
      <c r="X48">
        <v>188</v>
      </c>
      <c r="Y48">
        <v>188</v>
      </c>
      <c r="Z48">
        <v>571</v>
      </c>
      <c r="AA48">
        <v>177</v>
      </c>
      <c r="AB48">
        <v>60</v>
      </c>
      <c r="AC48">
        <v>0</v>
      </c>
      <c r="AD48">
        <v>508</v>
      </c>
      <c r="AE48">
        <v>0</v>
      </c>
      <c r="AF48">
        <v>501</v>
      </c>
      <c r="AG48">
        <v>11</v>
      </c>
    </row>
    <row r="49" spans="1:33" x14ac:dyDescent="0.3">
      <c r="A49">
        <v>21036</v>
      </c>
      <c r="B49" t="s">
        <v>1316</v>
      </c>
      <c r="C49" t="s">
        <v>1038</v>
      </c>
      <c r="D49">
        <v>2337</v>
      </c>
      <c r="E49">
        <v>26</v>
      </c>
      <c r="F49">
        <v>26</v>
      </c>
      <c r="G49">
        <v>26</v>
      </c>
      <c r="H49">
        <v>46</v>
      </c>
      <c r="I49">
        <v>0</v>
      </c>
      <c r="J49">
        <v>44</v>
      </c>
      <c r="K49">
        <v>0</v>
      </c>
      <c r="L49">
        <v>385</v>
      </c>
      <c r="M49">
        <v>10</v>
      </c>
      <c r="N49">
        <v>1862</v>
      </c>
      <c r="O49">
        <v>16</v>
      </c>
      <c r="R49">
        <v>21531</v>
      </c>
      <c r="S49" t="s">
        <v>1202</v>
      </c>
      <c r="T49" t="s">
        <v>1064</v>
      </c>
      <c r="U49">
        <v>2043</v>
      </c>
      <c r="V49">
        <v>178</v>
      </c>
      <c r="W49">
        <v>0.41648264634197724</v>
      </c>
      <c r="X49">
        <v>178</v>
      </c>
      <c r="Y49">
        <v>178</v>
      </c>
      <c r="Z49">
        <v>357</v>
      </c>
      <c r="AA49">
        <v>20</v>
      </c>
      <c r="AB49">
        <v>293</v>
      </c>
      <c r="AC49">
        <v>2</v>
      </c>
      <c r="AD49">
        <v>1016</v>
      </c>
      <c r="AE49">
        <v>156</v>
      </c>
      <c r="AF49">
        <v>377</v>
      </c>
      <c r="AG49">
        <v>0</v>
      </c>
    </row>
    <row r="50" spans="1:33" x14ac:dyDescent="0.3">
      <c r="A50">
        <v>21051</v>
      </c>
      <c r="B50" t="s">
        <v>1383</v>
      </c>
      <c r="C50" t="s">
        <v>992</v>
      </c>
      <c r="D50">
        <v>388</v>
      </c>
      <c r="E50">
        <v>0</v>
      </c>
      <c r="F50">
        <v>0</v>
      </c>
      <c r="G50">
        <v>0</v>
      </c>
      <c r="H50">
        <v>8</v>
      </c>
      <c r="I50">
        <v>0</v>
      </c>
      <c r="J50">
        <v>18</v>
      </c>
      <c r="K50">
        <v>0</v>
      </c>
      <c r="L50">
        <v>36</v>
      </c>
      <c r="M50">
        <v>0</v>
      </c>
      <c r="N50">
        <v>326</v>
      </c>
      <c r="O50">
        <v>0</v>
      </c>
      <c r="R50">
        <v>21539</v>
      </c>
      <c r="S50" t="s">
        <v>1218</v>
      </c>
      <c r="T50" t="s">
        <v>1032</v>
      </c>
      <c r="U50">
        <v>2619</v>
      </c>
      <c r="V50">
        <v>80</v>
      </c>
      <c r="W50">
        <v>0.92667388811089935</v>
      </c>
      <c r="X50">
        <v>80</v>
      </c>
      <c r="Y50">
        <v>80</v>
      </c>
      <c r="Z50">
        <v>453</v>
      </c>
      <c r="AA50">
        <v>14</v>
      </c>
      <c r="AB50">
        <v>394</v>
      </c>
      <c r="AC50">
        <v>5</v>
      </c>
      <c r="AD50">
        <v>1077</v>
      </c>
      <c r="AE50">
        <v>18</v>
      </c>
      <c r="AF50">
        <v>695</v>
      </c>
      <c r="AG50">
        <v>43</v>
      </c>
    </row>
    <row r="51" spans="1:33" x14ac:dyDescent="0.3">
      <c r="A51">
        <v>21056</v>
      </c>
      <c r="B51" t="s">
        <v>1384</v>
      </c>
      <c r="C51" t="s">
        <v>996</v>
      </c>
      <c r="D51">
        <v>219</v>
      </c>
      <c r="E51">
        <v>0</v>
      </c>
      <c r="F51">
        <v>0</v>
      </c>
      <c r="G51">
        <v>0</v>
      </c>
      <c r="H51">
        <v>0</v>
      </c>
      <c r="I51">
        <v>0</v>
      </c>
      <c r="J51">
        <v>0</v>
      </c>
      <c r="K51">
        <v>0</v>
      </c>
      <c r="L51">
        <v>29</v>
      </c>
      <c r="M51">
        <v>0</v>
      </c>
      <c r="N51">
        <v>190</v>
      </c>
      <c r="O51">
        <v>0</v>
      </c>
      <c r="R51">
        <v>21542</v>
      </c>
      <c r="S51" t="s">
        <v>1281</v>
      </c>
      <c r="T51" t="s">
        <v>1032</v>
      </c>
      <c r="U51">
        <v>664</v>
      </c>
      <c r="V51">
        <v>50</v>
      </c>
      <c r="W51">
        <v>1.482678220977439</v>
      </c>
      <c r="X51">
        <v>50</v>
      </c>
      <c r="Y51">
        <v>50</v>
      </c>
      <c r="Z51">
        <v>216</v>
      </c>
      <c r="AA51">
        <v>20</v>
      </c>
      <c r="AB51">
        <v>59</v>
      </c>
      <c r="AC51">
        <v>9</v>
      </c>
      <c r="AD51">
        <v>225</v>
      </c>
      <c r="AE51">
        <v>9</v>
      </c>
      <c r="AF51">
        <v>164</v>
      </c>
      <c r="AG51">
        <v>12</v>
      </c>
    </row>
    <row r="52" spans="1:33" x14ac:dyDescent="0.3">
      <c r="A52">
        <v>21071</v>
      </c>
      <c r="B52" t="s">
        <v>1385</v>
      </c>
      <c r="C52" t="s">
        <v>992</v>
      </c>
      <c r="D52">
        <v>514</v>
      </c>
      <c r="E52">
        <v>0</v>
      </c>
      <c r="F52">
        <v>0</v>
      </c>
      <c r="G52">
        <v>0</v>
      </c>
      <c r="H52">
        <v>0</v>
      </c>
      <c r="I52">
        <v>0</v>
      </c>
      <c r="J52">
        <v>55</v>
      </c>
      <c r="K52">
        <v>0</v>
      </c>
      <c r="L52">
        <v>33</v>
      </c>
      <c r="M52">
        <v>0</v>
      </c>
      <c r="N52">
        <v>426</v>
      </c>
      <c r="O52">
        <v>0</v>
      </c>
      <c r="R52">
        <v>21545</v>
      </c>
      <c r="S52" t="s">
        <v>1196</v>
      </c>
      <c r="T52" t="s">
        <v>1032</v>
      </c>
      <c r="U52">
        <v>1918</v>
      </c>
      <c r="V52">
        <v>202</v>
      </c>
      <c r="W52">
        <v>0.36699955964788095</v>
      </c>
      <c r="X52">
        <v>202</v>
      </c>
      <c r="Y52">
        <v>202</v>
      </c>
      <c r="Z52">
        <v>318</v>
      </c>
      <c r="AA52">
        <v>35</v>
      </c>
      <c r="AB52">
        <v>283</v>
      </c>
      <c r="AC52">
        <v>83</v>
      </c>
      <c r="AD52">
        <v>904</v>
      </c>
      <c r="AE52">
        <v>15</v>
      </c>
      <c r="AF52">
        <v>413</v>
      </c>
      <c r="AG52">
        <v>69</v>
      </c>
    </row>
    <row r="53" spans="1:33" x14ac:dyDescent="0.3">
      <c r="A53">
        <v>21077</v>
      </c>
      <c r="B53" t="s">
        <v>1345</v>
      </c>
      <c r="C53" t="s">
        <v>996</v>
      </c>
      <c r="D53">
        <v>240</v>
      </c>
      <c r="E53">
        <v>14</v>
      </c>
      <c r="F53">
        <v>14</v>
      </c>
      <c r="G53">
        <v>14</v>
      </c>
      <c r="H53">
        <v>0</v>
      </c>
      <c r="I53">
        <v>0</v>
      </c>
      <c r="J53">
        <v>0</v>
      </c>
      <c r="K53">
        <v>0</v>
      </c>
      <c r="L53">
        <v>17</v>
      </c>
      <c r="M53">
        <v>0</v>
      </c>
      <c r="N53">
        <v>223</v>
      </c>
      <c r="O53">
        <v>14</v>
      </c>
      <c r="R53">
        <v>21555</v>
      </c>
      <c r="S53" t="s">
        <v>1213</v>
      </c>
      <c r="T53" t="s">
        <v>1032</v>
      </c>
      <c r="U53">
        <v>1755</v>
      </c>
      <c r="V53">
        <v>126</v>
      </c>
      <c r="W53">
        <v>0.5883643734037457</v>
      </c>
      <c r="X53">
        <v>126</v>
      </c>
      <c r="Y53">
        <v>126</v>
      </c>
      <c r="Z53">
        <v>285</v>
      </c>
      <c r="AA53">
        <v>65</v>
      </c>
      <c r="AB53">
        <v>124</v>
      </c>
      <c r="AC53">
        <v>26</v>
      </c>
      <c r="AD53">
        <v>764</v>
      </c>
      <c r="AE53">
        <v>35</v>
      </c>
      <c r="AF53">
        <v>582</v>
      </c>
      <c r="AG53">
        <v>0</v>
      </c>
    </row>
    <row r="54" spans="1:33" x14ac:dyDescent="0.3">
      <c r="A54">
        <v>21082</v>
      </c>
      <c r="B54" t="s">
        <v>1386</v>
      </c>
      <c r="C54" t="s">
        <v>992</v>
      </c>
      <c r="D54">
        <v>470</v>
      </c>
      <c r="E54">
        <v>0</v>
      </c>
      <c r="F54">
        <v>0</v>
      </c>
      <c r="G54">
        <v>0</v>
      </c>
      <c r="H54">
        <v>0</v>
      </c>
      <c r="I54">
        <v>0</v>
      </c>
      <c r="J54">
        <v>0</v>
      </c>
      <c r="K54">
        <v>0</v>
      </c>
      <c r="L54">
        <v>104</v>
      </c>
      <c r="M54">
        <v>0</v>
      </c>
      <c r="N54">
        <v>366</v>
      </c>
      <c r="O54">
        <v>0</v>
      </c>
      <c r="R54">
        <v>21557</v>
      </c>
      <c r="S54" t="s">
        <v>1283</v>
      </c>
      <c r="T54" t="s">
        <v>1032</v>
      </c>
      <c r="U54">
        <v>1672</v>
      </c>
      <c r="V54">
        <v>65</v>
      </c>
      <c r="W54">
        <v>1.1405217084441839</v>
      </c>
      <c r="X54">
        <v>65</v>
      </c>
      <c r="Y54">
        <v>65</v>
      </c>
      <c r="Z54">
        <v>331</v>
      </c>
      <c r="AA54">
        <v>0</v>
      </c>
      <c r="AB54">
        <v>158</v>
      </c>
      <c r="AC54">
        <v>0</v>
      </c>
      <c r="AD54">
        <v>700</v>
      </c>
      <c r="AE54">
        <v>65</v>
      </c>
      <c r="AF54">
        <v>483</v>
      </c>
      <c r="AG54">
        <v>0</v>
      </c>
    </row>
    <row r="55" spans="1:33" x14ac:dyDescent="0.3">
      <c r="A55">
        <v>21105</v>
      </c>
      <c r="B55" t="s">
        <v>1387</v>
      </c>
      <c r="C55" t="s">
        <v>992</v>
      </c>
      <c r="D55">
        <v>25</v>
      </c>
      <c r="E55">
        <v>0</v>
      </c>
      <c r="F55">
        <v>0</v>
      </c>
      <c r="G55">
        <v>0</v>
      </c>
      <c r="H55">
        <v>0</v>
      </c>
      <c r="I55">
        <v>0</v>
      </c>
      <c r="J55">
        <v>0</v>
      </c>
      <c r="K55">
        <v>0</v>
      </c>
      <c r="L55">
        <v>25</v>
      </c>
      <c r="M55">
        <v>0</v>
      </c>
      <c r="N55">
        <v>0</v>
      </c>
      <c r="O55">
        <v>0</v>
      </c>
      <c r="R55">
        <v>21561</v>
      </c>
      <c r="S55" t="s">
        <v>1193</v>
      </c>
      <c r="T55" t="s">
        <v>1064</v>
      </c>
      <c r="U55">
        <v>2430</v>
      </c>
      <c r="V55">
        <v>166</v>
      </c>
      <c r="W55">
        <v>0.44658982559561416</v>
      </c>
      <c r="X55">
        <v>166</v>
      </c>
      <c r="Y55">
        <v>166</v>
      </c>
      <c r="Z55">
        <v>405</v>
      </c>
      <c r="AA55">
        <v>64</v>
      </c>
      <c r="AB55">
        <v>284</v>
      </c>
      <c r="AC55">
        <v>32</v>
      </c>
      <c r="AD55">
        <v>1067</v>
      </c>
      <c r="AE55">
        <v>62</v>
      </c>
      <c r="AF55">
        <v>674</v>
      </c>
      <c r="AG55">
        <v>8</v>
      </c>
    </row>
    <row r="56" spans="1:33" x14ac:dyDescent="0.3">
      <c r="A56">
        <v>21153</v>
      </c>
      <c r="B56" t="s">
        <v>1320</v>
      </c>
      <c r="C56" t="s">
        <v>992</v>
      </c>
      <c r="D56">
        <v>372</v>
      </c>
      <c r="E56">
        <v>24</v>
      </c>
      <c r="F56">
        <v>24</v>
      </c>
      <c r="G56">
        <v>24</v>
      </c>
      <c r="H56">
        <v>5</v>
      </c>
      <c r="I56">
        <v>0</v>
      </c>
      <c r="J56">
        <v>0</v>
      </c>
      <c r="K56">
        <v>0</v>
      </c>
      <c r="L56">
        <v>105</v>
      </c>
      <c r="M56">
        <v>24</v>
      </c>
      <c r="N56">
        <v>262</v>
      </c>
      <c r="O56">
        <v>0</v>
      </c>
      <c r="R56">
        <v>21562</v>
      </c>
      <c r="S56" t="s">
        <v>1210</v>
      </c>
      <c r="T56" t="s">
        <v>1032</v>
      </c>
      <c r="U56">
        <v>3129</v>
      </c>
      <c r="V56">
        <v>140</v>
      </c>
      <c r="W56">
        <v>0.52952793606337112</v>
      </c>
      <c r="X56">
        <v>140</v>
      </c>
      <c r="Y56">
        <v>140</v>
      </c>
      <c r="Z56">
        <v>848</v>
      </c>
      <c r="AA56">
        <v>28</v>
      </c>
      <c r="AB56">
        <v>428</v>
      </c>
      <c r="AC56">
        <v>16</v>
      </c>
      <c r="AD56">
        <v>1258</v>
      </c>
      <c r="AE56">
        <v>60</v>
      </c>
      <c r="AF56">
        <v>595</v>
      </c>
      <c r="AG56">
        <v>36</v>
      </c>
    </row>
    <row r="57" spans="1:33" x14ac:dyDescent="0.3">
      <c r="A57">
        <v>21156</v>
      </c>
      <c r="B57" t="s">
        <v>1364</v>
      </c>
      <c r="C57" t="s">
        <v>992</v>
      </c>
      <c r="D57">
        <v>315</v>
      </c>
      <c r="E57">
        <v>0</v>
      </c>
      <c r="F57">
        <v>0</v>
      </c>
      <c r="G57">
        <v>0</v>
      </c>
      <c r="H57">
        <v>31</v>
      </c>
      <c r="I57">
        <v>0</v>
      </c>
      <c r="J57">
        <v>0</v>
      </c>
      <c r="K57">
        <v>0</v>
      </c>
      <c r="L57">
        <v>25</v>
      </c>
      <c r="M57">
        <v>0</v>
      </c>
      <c r="N57">
        <v>259</v>
      </c>
      <c r="O57">
        <v>0</v>
      </c>
      <c r="R57">
        <v>21607</v>
      </c>
      <c r="S57" t="s">
        <v>1256</v>
      </c>
      <c r="T57" t="s">
        <v>1141</v>
      </c>
      <c r="U57">
        <v>827</v>
      </c>
      <c r="V57">
        <v>111</v>
      </c>
      <c r="W57">
        <v>0.66787307251235994</v>
      </c>
      <c r="X57">
        <v>111</v>
      </c>
      <c r="Y57">
        <v>111</v>
      </c>
      <c r="Z57">
        <v>96</v>
      </c>
      <c r="AA57">
        <v>56</v>
      </c>
      <c r="AB57">
        <v>69</v>
      </c>
      <c r="AC57">
        <v>0</v>
      </c>
      <c r="AD57">
        <v>237</v>
      </c>
      <c r="AE57">
        <v>55</v>
      </c>
      <c r="AF57">
        <v>425</v>
      </c>
      <c r="AG57">
        <v>0</v>
      </c>
    </row>
    <row r="58" spans="1:33" x14ac:dyDescent="0.3">
      <c r="A58">
        <v>21240</v>
      </c>
      <c r="B58" t="s">
        <v>992</v>
      </c>
      <c r="C58" t="s">
        <v>996</v>
      </c>
      <c r="D58">
        <v>0</v>
      </c>
      <c r="E58">
        <v>0</v>
      </c>
      <c r="F58">
        <v>0</v>
      </c>
      <c r="G58">
        <v>0</v>
      </c>
      <c r="H58">
        <v>0</v>
      </c>
      <c r="I58">
        <v>0</v>
      </c>
      <c r="J58">
        <v>0</v>
      </c>
      <c r="K58">
        <v>0</v>
      </c>
      <c r="L58">
        <v>0</v>
      </c>
      <c r="M58">
        <v>0</v>
      </c>
      <c r="N58">
        <v>0</v>
      </c>
      <c r="O58">
        <v>0</v>
      </c>
      <c r="R58">
        <v>21623</v>
      </c>
      <c r="S58" t="s">
        <v>1266</v>
      </c>
      <c r="T58" t="s">
        <v>1141</v>
      </c>
      <c r="U58">
        <v>1760</v>
      </c>
      <c r="V58">
        <v>107</v>
      </c>
      <c r="W58">
        <v>0.69284029017637339</v>
      </c>
      <c r="X58">
        <v>107</v>
      </c>
      <c r="Y58">
        <v>107</v>
      </c>
      <c r="Z58">
        <v>279</v>
      </c>
      <c r="AA58">
        <v>35</v>
      </c>
      <c r="AB58">
        <v>91</v>
      </c>
      <c r="AC58">
        <v>18</v>
      </c>
      <c r="AD58">
        <v>573</v>
      </c>
      <c r="AE58">
        <v>44</v>
      </c>
      <c r="AF58">
        <v>817</v>
      </c>
      <c r="AG58">
        <v>10</v>
      </c>
    </row>
    <row r="59" spans="1:33" x14ac:dyDescent="0.3">
      <c r="A59">
        <v>21250</v>
      </c>
      <c r="B59" t="s">
        <v>992</v>
      </c>
      <c r="C59" t="s">
        <v>992</v>
      </c>
      <c r="D59">
        <v>0</v>
      </c>
      <c r="E59">
        <v>0</v>
      </c>
      <c r="F59">
        <v>0</v>
      </c>
      <c r="G59">
        <v>0</v>
      </c>
      <c r="H59">
        <v>0</v>
      </c>
      <c r="I59">
        <v>0</v>
      </c>
      <c r="J59">
        <v>0</v>
      </c>
      <c r="K59">
        <v>0</v>
      </c>
      <c r="L59">
        <v>0</v>
      </c>
      <c r="M59">
        <v>0</v>
      </c>
      <c r="N59">
        <v>0</v>
      </c>
      <c r="O59">
        <v>0</v>
      </c>
      <c r="R59">
        <v>21625</v>
      </c>
      <c r="S59" t="s">
        <v>1231</v>
      </c>
      <c r="T59" t="s">
        <v>1057</v>
      </c>
      <c r="U59">
        <v>2736</v>
      </c>
      <c r="V59">
        <v>79</v>
      </c>
      <c r="W59">
        <v>0.93840393732749305</v>
      </c>
      <c r="X59">
        <v>79</v>
      </c>
      <c r="Y59">
        <v>79</v>
      </c>
      <c r="Z59">
        <v>338</v>
      </c>
      <c r="AA59">
        <v>0</v>
      </c>
      <c r="AB59">
        <v>73</v>
      </c>
      <c r="AC59">
        <v>0</v>
      </c>
      <c r="AD59">
        <v>795</v>
      </c>
      <c r="AE59">
        <v>68</v>
      </c>
      <c r="AF59">
        <v>1530</v>
      </c>
      <c r="AG59">
        <v>11</v>
      </c>
    </row>
    <row r="60" spans="1:33" x14ac:dyDescent="0.3">
      <c r="A60">
        <v>21251</v>
      </c>
      <c r="B60" t="s">
        <v>992</v>
      </c>
      <c r="C60" t="s">
        <v>993</v>
      </c>
      <c r="D60">
        <v>0</v>
      </c>
      <c r="E60">
        <v>0</v>
      </c>
      <c r="F60">
        <v>0</v>
      </c>
      <c r="G60">
        <v>0</v>
      </c>
      <c r="H60">
        <v>0</v>
      </c>
      <c r="I60">
        <v>0</v>
      </c>
      <c r="J60">
        <v>0</v>
      </c>
      <c r="K60">
        <v>0</v>
      </c>
      <c r="L60">
        <v>0</v>
      </c>
      <c r="M60">
        <v>0</v>
      </c>
      <c r="N60">
        <v>0</v>
      </c>
      <c r="O60">
        <v>0</v>
      </c>
      <c r="R60">
        <v>21628</v>
      </c>
      <c r="S60" t="s">
        <v>1290</v>
      </c>
      <c r="T60" t="s">
        <v>1141</v>
      </c>
      <c r="U60">
        <v>750</v>
      </c>
      <c r="V60">
        <v>93</v>
      </c>
      <c r="W60">
        <v>0.79713882848249407</v>
      </c>
      <c r="X60">
        <v>93</v>
      </c>
      <c r="Y60">
        <v>93</v>
      </c>
      <c r="Z60">
        <v>276</v>
      </c>
      <c r="AA60">
        <v>0</v>
      </c>
      <c r="AB60">
        <v>72</v>
      </c>
      <c r="AC60">
        <v>55</v>
      </c>
      <c r="AD60">
        <v>194</v>
      </c>
      <c r="AE60">
        <v>38</v>
      </c>
      <c r="AF60">
        <v>208</v>
      </c>
      <c r="AG60">
        <v>0</v>
      </c>
    </row>
    <row r="61" spans="1:33" x14ac:dyDescent="0.3">
      <c r="A61">
        <v>21252</v>
      </c>
      <c r="B61" t="s">
        <v>992</v>
      </c>
      <c r="C61" t="s">
        <v>992</v>
      </c>
      <c r="D61">
        <v>0</v>
      </c>
      <c r="E61">
        <v>0</v>
      </c>
      <c r="F61">
        <v>0</v>
      </c>
      <c r="G61">
        <v>0</v>
      </c>
      <c r="H61">
        <v>0</v>
      </c>
      <c r="I61">
        <v>0</v>
      </c>
      <c r="J61">
        <v>0</v>
      </c>
      <c r="K61">
        <v>0</v>
      </c>
      <c r="L61">
        <v>0</v>
      </c>
      <c r="M61">
        <v>0</v>
      </c>
      <c r="N61">
        <v>0</v>
      </c>
      <c r="O61">
        <v>0</v>
      </c>
      <c r="R61">
        <v>21635</v>
      </c>
      <c r="S61" t="s">
        <v>1192</v>
      </c>
      <c r="T61" t="s">
        <v>1131</v>
      </c>
      <c r="U61">
        <v>2033</v>
      </c>
      <c r="V61">
        <v>141</v>
      </c>
      <c r="W61">
        <v>0.52577241878632586</v>
      </c>
      <c r="X61">
        <v>141</v>
      </c>
      <c r="Y61">
        <v>141</v>
      </c>
      <c r="Z61">
        <v>222</v>
      </c>
      <c r="AA61">
        <v>5</v>
      </c>
      <c r="AB61">
        <v>233</v>
      </c>
      <c r="AC61">
        <v>57</v>
      </c>
      <c r="AD61">
        <v>534</v>
      </c>
      <c r="AE61">
        <v>17</v>
      </c>
      <c r="AF61">
        <v>1044</v>
      </c>
      <c r="AG61">
        <v>62</v>
      </c>
    </row>
    <row r="62" spans="1:33" x14ac:dyDescent="0.3">
      <c r="A62">
        <v>21402</v>
      </c>
      <c r="B62" t="s">
        <v>1042</v>
      </c>
      <c r="C62" t="s">
        <v>996</v>
      </c>
      <c r="D62">
        <v>677</v>
      </c>
      <c r="E62">
        <v>23</v>
      </c>
      <c r="F62">
        <v>23</v>
      </c>
      <c r="G62">
        <v>23</v>
      </c>
      <c r="H62">
        <v>24</v>
      </c>
      <c r="I62">
        <v>0</v>
      </c>
      <c r="J62">
        <v>124</v>
      </c>
      <c r="K62">
        <v>18</v>
      </c>
      <c r="L62">
        <v>333</v>
      </c>
      <c r="M62">
        <v>0</v>
      </c>
      <c r="N62">
        <v>196</v>
      </c>
      <c r="O62">
        <v>5</v>
      </c>
      <c r="R62">
        <v>21638</v>
      </c>
      <c r="S62" t="s">
        <v>1178</v>
      </c>
      <c r="T62" t="s">
        <v>1141</v>
      </c>
      <c r="U62">
        <v>5108</v>
      </c>
      <c r="V62">
        <v>140</v>
      </c>
      <c r="W62">
        <v>0.52952793606337112</v>
      </c>
      <c r="X62">
        <v>140</v>
      </c>
      <c r="Y62">
        <v>140</v>
      </c>
      <c r="Z62">
        <v>915</v>
      </c>
      <c r="AA62">
        <v>41</v>
      </c>
      <c r="AB62">
        <v>228</v>
      </c>
      <c r="AC62">
        <v>0</v>
      </c>
      <c r="AD62">
        <v>1118</v>
      </c>
      <c r="AE62">
        <v>24</v>
      </c>
      <c r="AF62">
        <v>2847</v>
      </c>
      <c r="AG62">
        <v>75</v>
      </c>
    </row>
    <row r="63" spans="1:33" x14ac:dyDescent="0.3">
      <c r="A63">
        <v>21405</v>
      </c>
      <c r="B63" t="s">
        <v>1042</v>
      </c>
      <c r="C63" t="s">
        <v>996</v>
      </c>
      <c r="D63">
        <v>360</v>
      </c>
      <c r="E63">
        <v>0</v>
      </c>
      <c r="F63">
        <v>0</v>
      </c>
      <c r="G63">
        <v>0</v>
      </c>
      <c r="H63">
        <v>9</v>
      </c>
      <c r="I63">
        <v>0</v>
      </c>
      <c r="J63">
        <v>0</v>
      </c>
      <c r="K63">
        <v>0</v>
      </c>
      <c r="L63">
        <v>10</v>
      </c>
      <c r="M63">
        <v>0</v>
      </c>
      <c r="N63">
        <v>341</v>
      </c>
      <c r="O63">
        <v>0</v>
      </c>
      <c r="R63">
        <v>21640</v>
      </c>
      <c r="S63" t="s">
        <v>1236</v>
      </c>
      <c r="T63" t="s">
        <v>1095</v>
      </c>
      <c r="U63">
        <v>1617</v>
      </c>
      <c r="V63">
        <v>148</v>
      </c>
      <c r="W63">
        <v>0.50090480438426999</v>
      </c>
      <c r="X63">
        <v>148</v>
      </c>
      <c r="Y63">
        <v>148</v>
      </c>
      <c r="Z63">
        <v>318</v>
      </c>
      <c r="AA63">
        <v>81</v>
      </c>
      <c r="AB63">
        <v>354</v>
      </c>
      <c r="AC63">
        <v>45</v>
      </c>
      <c r="AD63">
        <v>357</v>
      </c>
      <c r="AE63">
        <v>22</v>
      </c>
      <c r="AF63">
        <v>588</v>
      </c>
      <c r="AG63">
        <v>0</v>
      </c>
    </row>
    <row r="64" spans="1:33" x14ac:dyDescent="0.3">
      <c r="A64">
        <v>21521</v>
      </c>
      <c r="B64" t="s">
        <v>1269</v>
      </c>
      <c r="C64" t="s">
        <v>1032</v>
      </c>
      <c r="D64">
        <v>1113</v>
      </c>
      <c r="E64">
        <v>49</v>
      </c>
      <c r="F64">
        <v>49</v>
      </c>
      <c r="G64">
        <v>49</v>
      </c>
      <c r="H64">
        <v>236</v>
      </c>
      <c r="I64">
        <v>21</v>
      </c>
      <c r="J64">
        <v>128</v>
      </c>
      <c r="K64">
        <v>9</v>
      </c>
      <c r="L64">
        <v>531</v>
      </c>
      <c r="M64">
        <v>14</v>
      </c>
      <c r="N64">
        <v>218</v>
      </c>
      <c r="O64">
        <v>5</v>
      </c>
      <c r="R64">
        <v>21645</v>
      </c>
      <c r="S64" t="s">
        <v>1245</v>
      </c>
      <c r="T64" t="s">
        <v>1131</v>
      </c>
      <c r="U64">
        <v>1148</v>
      </c>
      <c r="V64">
        <v>105</v>
      </c>
      <c r="W64">
        <v>0.70603724808449475</v>
      </c>
      <c r="X64">
        <v>105</v>
      </c>
      <c r="Y64">
        <v>105</v>
      </c>
      <c r="Z64">
        <v>131</v>
      </c>
      <c r="AA64">
        <v>43</v>
      </c>
      <c r="AB64">
        <v>22</v>
      </c>
      <c r="AC64">
        <v>12</v>
      </c>
      <c r="AD64">
        <v>438</v>
      </c>
      <c r="AE64">
        <v>50</v>
      </c>
      <c r="AF64">
        <v>557</v>
      </c>
      <c r="AG64">
        <v>0</v>
      </c>
    </row>
    <row r="65" spans="1:33" x14ac:dyDescent="0.3">
      <c r="A65">
        <v>21522</v>
      </c>
      <c r="B65" t="s">
        <v>1286</v>
      </c>
      <c r="C65" t="s">
        <v>1064</v>
      </c>
      <c r="D65">
        <v>120</v>
      </c>
      <c r="E65">
        <v>7</v>
      </c>
      <c r="F65">
        <v>7</v>
      </c>
      <c r="G65">
        <v>7</v>
      </c>
      <c r="H65">
        <v>0</v>
      </c>
      <c r="I65">
        <v>0</v>
      </c>
      <c r="J65">
        <v>15</v>
      </c>
      <c r="K65">
        <v>7</v>
      </c>
      <c r="L65">
        <v>45</v>
      </c>
      <c r="M65">
        <v>0</v>
      </c>
      <c r="N65">
        <v>60</v>
      </c>
      <c r="O65">
        <v>0</v>
      </c>
      <c r="R65">
        <v>21657</v>
      </c>
      <c r="S65" t="s">
        <v>1271</v>
      </c>
      <c r="T65" t="s">
        <v>1141</v>
      </c>
      <c r="U65">
        <v>898</v>
      </c>
      <c r="V65">
        <v>84</v>
      </c>
      <c r="W65">
        <v>0.88254656010561849</v>
      </c>
      <c r="X65">
        <v>84</v>
      </c>
      <c r="Y65">
        <v>84</v>
      </c>
      <c r="Z65">
        <v>15</v>
      </c>
      <c r="AA65">
        <v>0</v>
      </c>
      <c r="AB65">
        <v>43</v>
      </c>
      <c r="AC65">
        <v>0</v>
      </c>
      <c r="AD65">
        <v>372</v>
      </c>
      <c r="AE65">
        <v>69</v>
      </c>
      <c r="AF65">
        <v>468</v>
      </c>
      <c r="AG65">
        <v>15</v>
      </c>
    </row>
    <row r="66" spans="1:33" x14ac:dyDescent="0.3">
      <c r="A66">
        <v>21523</v>
      </c>
      <c r="B66" t="s">
        <v>1357</v>
      </c>
      <c r="C66" t="s">
        <v>1064</v>
      </c>
      <c r="D66">
        <v>185</v>
      </c>
      <c r="E66">
        <v>11</v>
      </c>
      <c r="F66">
        <v>11</v>
      </c>
      <c r="G66">
        <v>11</v>
      </c>
      <c r="H66">
        <v>36</v>
      </c>
      <c r="I66">
        <v>0</v>
      </c>
      <c r="J66">
        <v>56</v>
      </c>
      <c r="K66">
        <v>0</v>
      </c>
      <c r="L66">
        <v>72</v>
      </c>
      <c r="M66">
        <v>11</v>
      </c>
      <c r="N66">
        <v>21</v>
      </c>
      <c r="O66">
        <v>0</v>
      </c>
      <c r="R66">
        <v>21659</v>
      </c>
      <c r="S66" t="s">
        <v>1223</v>
      </c>
      <c r="T66" t="s">
        <v>1097</v>
      </c>
      <c r="U66">
        <v>1292</v>
      </c>
      <c r="V66">
        <v>94</v>
      </c>
      <c r="W66">
        <v>0.78865862817948884</v>
      </c>
      <c r="X66">
        <v>94</v>
      </c>
      <c r="Y66">
        <v>94</v>
      </c>
      <c r="Z66">
        <v>333</v>
      </c>
      <c r="AA66">
        <v>24</v>
      </c>
      <c r="AB66">
        <v>212</v>
      </c>
      <c r="AC66">
        <v>7</v>
      </c>
      <c r="AD66">
        <v>258</v>
      </c>
      <c r="AE66">
        <v>49</v>
      </c>
      <c r="AF66">
        <v>489</v>
      </c>
      <c r="AG66">
        <v>14</v>
      </c>
    </row>
    <row r="67" spans="1:33" x14ac:dyDescent="0.3">
      <c r="A67">
        <v>21524</v>
      </c>
      <c r="B67" t="s">
        <v>1344</v>
      </c>
      <c r="C67" t="s">
        <v>1032</v>
      </c>
      <c r="D67">
        <v>593</v>
      </c>
      <c r="E67">
        <v>0</v>
      </c>
      <c r="F67">
        <v>0</v>
      </c>
      <c r="G67">
        <v>0</v>
      </c>
      <c r="H67">
        <v>115</v>
      </c>
      <c r="I67">
        <v>0</v>
      </c>
      <c r="J67">
        <v>188</v>
      </c>
      <c r="K67">
        <v>0</v>
      </c>
      <c r="L67">
        <v>161</v>
      </c>
      <c r="M67">
        <v>0</v>
      </c>
      <c r="N67">
        <v>129</v>
      </c>
      <c r="O67">
        <v>0</v>
      </c>
      <c r="R67">
        <v>21661</v>
      </c>
      <c r="S67" t="s">
        <v>1211</v>
      </c>
      <c r="T67" t="s">
        <v>1131</v>
      </c>
      <c r="U67">
        <v>2435</v>
      </c>
      <c r="V67">
        <v>186</v>
      </c>
      <c r="W67">
        <v>0.39856941424124703</v>
      </c>
      <c r="X67">
        <v>186</v>
      </c>
      <c r="Y67">
        <v>186</v>
      </c>
      <c r="Z67">
        <v>542</v>
      </c>
      <c r="AA67">
        <v>34</v>
      </c>
      <c r="AB67">
        <v>311</v>
      </c>
      <c r="AC67">
        <v>56</v>
      </c>
      <c r="AD67">
        <v>776</v>
      </c>
      <c r="AE67">
        <v>96</v>
      </c>
      <c r="AF67">
        <v>806</v>
      </c>
      <c r="AG67">
        <v>0</v>
      </c>
    </row>
    <row r="68" spans="1:33" x14ac:dyDescent="0.3">
      <c r="A68">
        <v>21529</v>
      </c>
      <c r="B68" t="s">
        <v>1321</v>
      </c>
      <c r="C68" t="s">
        <v>1032</v>
      </c>
      <c r="D68">
        <v>511</v>
      </c>
      <c r="E68">
        <v>33</v>
      </c>
      <c r="F68">
        <v>33</v>
      </c>
      <c r="G68">
        <v>33</v>
      </c>
      <c r="H68">
        <v>30</v>
      </c>
      <c r="I68">
        <v>0</v>
      </c>
      <c r="J68">
        <v>88</v>
      </c>
      <c r="K68">
        <v>8</v>
      </c>
      <c r="L68">
        <v>209</v>
      </c>
      <c r="M68">
        <v>18</v>
      </c>
      <c r="N68">
        <v>184</v>
      </c>
      <c r="O68">
        <v>7</v>
      </c>
      <c r="R68">
        <v>21663</v>
      </c>
      <c r="S68" t="s">
        <v>1195</v>
      </c>
      <c r="T68" t="s">
        <v>1057</v>
      </c>
      <c r="U68">
        <v>3161</v>
      </c>
      <c r="V68">
        <v>186</v>
      </c>
      <c r="W68">
        <v>0.39856941424124703</v>
      </c>
      <c r="X68">
        <v>186</v>
      </c>
      <c r="Y68">
        <v>186</v>
      </c>
      <c r="Z68">
        <v>419</v>
      </c>
      <c r="AA68">
        <v>72</v>
      </c>
      <c r="AB68">
        <v>189</v>
      </c>
      <c r="AC68">
        <v>15</v>
      </c>
      <c r="AD68">
        <v>849</v>
      </c>
      <c r="AE68">
        <v>48</v>
      </c>
      <c r="AF68">
        <v>1704</v>
      </c>
      <c r="AG68">
        <v>51</v>
      </c>
    </row>
    <row r="69" spans="1:33" x14ac:dyDescent="0.3">
      <c r="A69">
        <v>21538</v>
      </c>
      <c r="B69" t="s">
        <v>1348</v>
      </c>
      <c r="C69" t="s">
        <v>1064</v>
      </c>
      <c r="D69">
        <v>425</v>
      </c>
      <c r="E69">
        <v>12</v>
      </c>
      <c r="F69">
        <v>12</v>
      </c>
      <c r="G69">
        <v>12</v>
      </c>
      <c r="H69">
        <v>90</v>
      </c>
      <c r="I69">
        <v>3</v>
      </c>
      <c r="J69">
        <v>65</v>
      </c>
      <c r="K69">
        <v>4</v>
      </c>
      <c r="L69">
        <v>216</v>
      </c>
      <c r="M69">
        <v>3</v>
      </c>
      <c r="N69">
        <v>54</v>
      </c>
      <c r="O69">
        <v>2</v>
      </c>
      <c r="R69">
        <v>21664</v>
      </c>
      <c r="S69" t="s">
        <v>1233</v>
      </c>
      <c r="T69" t="s">
        <v>1097</v>
      </c>
      <c r="U69">
        <v>620</v>
      </c>
      <c r="V69">
        <v>157</v>
      </c>
      <c r="W69">
        <v>0.4721905162348532</v>
      </c>
      <c r="X69">
        <v>157</v>
      </c>
      <c r="Y69">
        <v>157</v>
      </c>
      <c r="Z69">
        <v>208</v>
      </c>
      <c r="AA69">
        <v>104</v>
      </c>
      <c r="AB69">
        <v>52</v>
      </c>
      <c r="AC69">
        <v>7</v>
      </c>
      <c r="AD69">
        <v>188</v>
      </c>
      <c r="AE69">
        <v>40</v>
      </c>
      <c r="AF69">
        <v>172</v>
      </c>
      <c r="AG69">
        <v>6</v>
      </c>
    </row>
    <row r="70" spans="1:33" x14ac:dyDescent="0.3">
      <c r="A70">
        <v>21540</v>
      </c>
      <c r="B70" t="s">
        <v>1346</v>
      </c>
      <c r="C70" t="s">
        <v>1032</v>
      </c>
      <c r="D70">
        <v>85</v>
      </c>
      <c r="E70">
        <v>6</v>
      </c>
      <c r="F70">
        <v>6</v>
      </c>
      <c r="G70">
        <v>6</v>
      </c>
      <c r="H70">
        <v>31</v>
      </c>
      <c r="I70">
        <v>1</v>
      </c>
      <c r="J70">
        <v>18</v>
      </c>
      <c r="K70">
        <v>5</v>
      </c>
      <c r="L70">
        <v>35</v>
      </c>
      <c r="M70">
        <v>0</v>
      </c>
      <c r="N70">
        <v>1</v>
      </c>
      <c r="O70">
        <v>0</v>
      </c>
      <c r="R70">
        <v>21668</v>
      </c>
      <c r="S70" t="s">
        <v>1254</v>
      </c>
      <c r="T70" t="s">
        <v>1141</v>
      </c>
      <c r="U70">
        <v>1997</v>
      </c>
      <c r="V70">
        <v>91</v>
      </c>
      <c r="W70">
        <v>0.81465836317441709</v>
      </c>
      <c r="X70">
        <v>91</v>
      </c>
      <c r="Y70">
        <v>91</v>
      </c>
      <c r="Z70">
        <v>293</v>
      </c>
      <c r="AA70">
        <v>19</v>
      </c>
      <c r="AB70">
        <v>222</v>
      </c>
      <c r="AC70">
        <v>42</v>
      </c>
      <c r="AD70">
        <v>718</v>
      </c>
      <c r="AE70">
        <v>22</v>
      </c>
      <c r="AF70">
        <v>764</v>
      </c>
      <c r="AG70">
        <v>8</v>
      </c>
    </row>
    <row r="71" spans="1:33" x14ac:dyDescent="0.3">
      <c r="A71">
        <v>21541</v>
      </c>
      <c r="B71" t="s">
        <v>1264</v>
      </c>
      <c r="C71" t="s">
        <v>1064</v>
      </c>
      <c r="D71">
        <v>1162</v>
      </c>
      <c r="E71">
        <v>45</v>
      </c>
      <c r="F71">
        <v>45</v>
      </c>
      <c r="G71">
        <v>45</v>
      </c>
      <c r="H71">
        <v>141</v>
      </c>
      <c r="I71">
        <v>0</v>
      </c>
      <c r="J71">
        <v>178</v>
      </c>
      <c r="K71">
        <v>0</v>
      </c>
      <c r="L71">
        <v>402</v>
      </c>
      <c r="M71">
        <v>45</v>
      </c>
      <c r="N71">
        <v>441</v>
      </c>
      <c r="O71">
        <v>0</v>
      </c>
      <c r="R71">
        <v>21671</v>
      </c>
      <c r="S71" t="s">
        <v>1285</v>
      </c>
      <c r="T71" t="s">
        <v>1057</v>
      </c>
      <c r="U71">
        <v>762</v>
      </c>
      <c r="V71">
        <v>52</v>
      </c>
      <c r="W71">
        <v>1.4256521355552298</v>
      </c>
      <c r="X71">
        <v>52</v>
      </c>
      <c r="Y71">
        <v>52</v>
      </c>
      <c r="Z71">
        <v>167</v>
      </c>
      <c r="AA71">
        <v>35</v>
      </c>
      <c r="AB71">
        <v>18</v>
      </c>
      <c r="AC71">
        <v>0</v>
      </c>
      <c r="AD71">
        <v>261</v>
      </c>
      <c r="AE71">
        <v>17</v>
      </c>
      <c r="AF71">
        <v>316</v>
      </c>
      <c r="AG71">
        <v>0</v>
      </c>
    </row>
    <row r="72" spans="1:33" x14ac:dyDescent="0.3">
      <c r="A72">
        <v>21543</v>
      </c>
      <c r="B72" t="s">
        <v>1388</v>
      </c>
      <c r="C72" t="s">
        <v>1032</v>
      </c>
      <c r="D72">
        <v>182</v>
      </c>
      <c r="E72">
        <v>12</v>
      </c>
      <c r="F72">
        <v>12</v>
      </c>
      <c r="G72">
        <v>12</v>
      </c>
      <c r="H72">
        <v>0</v>
      </c>
      <c r="I72">
        <v>0</v>
      </c>
      <c r="J72">
        <v>22</v>
      </c>
      <c r="K72">
        <v>0</v>
      </c>
      <c r="L72">
        <v>87</v>
      </c>
      <c r="M72">
        <v>12</v>
      </c>
      <c r="N72">
        <v>73</v>
      </c>
      <c r="O72">
        <v>0</v>
      </c>
      <c r="R72">
        <v>21673</v>
      </c>
      <c r="S72" t="s">
        <v>1171</v>
      </c>
      <c r="T72" t="s">
        <v>1057</v>
      </c>
      <c r="U72">
        <v>3229</v>
      </c>
      <c r="V72">
        <v>202</v>
      </c>
      <c r="W72">
        <v>0.36699955964788095</v>
      </c>
      <c r="X72">
        <v>202</v>
      </c>
      <c r="Y72">
        <v>202</v>
      </c>
      <c r="Z72">
        <v>525</v>
      </c>
      <c r="AA72">
        <v>78</v>
      </c>
      <c r="AB72">
        <v>147</v>
      </c>
      <c r="AC72">
        <v>27</v>
      </c>
      <c r="AD72">
        <v>1023</v>
      </c>
      <c r="AE72">
        <v>59</v>
      </c>
      <c r="AF72">
        <v>1534</v>
      </c>
      <c r="AG72">
        <v>38</v>
      </c>
    </row>
    <row r="73" spans="1:33" x14ac:dyDescent="0.3">
      <c r="A73">
        <v>21610</v>
      </c>
      <c r="B73" t="s">
        <v>1303</v>
      </c>
      <c r="C73" t="s">
        <v>1131</v>
      </c>
      <c r="D73">
        <v>415</v>
      </c>
      <c r="E73">
        <v>42</v>
      </c>
      <c r="F73">
        <v>42</v>
      </c>
      <c r="G73">
        <v>42</v>
      </c>
      <c r="H73">
        <v>132</v>
      </c>
      <c r="I73">
        <v>18</v>
      </c>
      <c r="J73">
        <v>40</v>
      </c>
      <c r="K73">
        <v>5</v>
      </c>
      <c r="L73">
        <v>123</v>
      </c>
      <c r="M73">
        <v>9</v>
      </c>
      <c r="N73">
        <v>120</v>
      </c>
      <c r="O73">
        <v>10</v>
      </c>
      <c r="R73">
        <v>21676</v>
      </c>
      <c r="S73" t="s">
        <v>1278</v>
      </c>
      <c r="T73" t="s">
        <v>1057</v>
      </c>
      <c r="U73">
        <v>504</v>
      </c>
      <c r="V73">
        <v>95</v>
      </c>
      <c r="W73">
        <v>0.7803569584091784</v>
      </c>
      <c r="X73">
        <v>95</v>
      </c>
      <c r="Y73">
        <v>95</v>
      </c>
      <c r="Z73">
        <v>37</v>
      </c>
      <c r="AA73">
        <v>0</v>
      </c>
      <c r="AB73">
        <v>62</v>
      </c>
      <c r="AC73">
        <v>23</v>
      </c>
      <c r="AD73">
        <v>247</v>
      </c>
      <c r="AE73">
        <v>72</v>
      </c>
      <c r="AF73">
        <v>158</v>
      </c>
      <c r="AG73">
        <v>0</v>
      </c>
    </row>
    <row r="74" spans="1:33" x14ac:dyDescent="0.3">
      <c r="A74">
        <v>21612</v>
      </c>
      <c r="B74" t="s">
        <v>1309</v>
      </c>
      <c r="C74" t="s">
        <v>1057</v>
      </c>
      <c r="D74">
        <v>338</v>
      </c>
      <c r="E74">
        <v>0</v>
      </c>
      <c r="F74">
        <v>0</v>
      </c>
      <c r="G74">
        <v>0</v>
      </c>
      <c r="H74">
        <v>38</v>
      </c>
      <c r="I74">
        <v>0</v>
      </c>
      <c r="J74">
        <v>46</v>
      </c>
      <c r="K74">
        <v>0</v>
      </c>
      <c r="L74">
        <v>74</v>
      </c>
      <c r="M74">
        <v>0</v>
      </c>
      <c r="N74">
        <v>180</v>
      </c>
      <c r="O74">
        <v>0</v>
      </c>
      <c r="R74">
        <v>21678</v>
      </c>
      <c r="S74" t="s">
        <v>1232</v>
      </c>
      <c r="T74" t="s">
        <v>1131</v>
      </c>
      <c r="U74">
        <v>1979</v>
      </c>
      <c r="V74">
        <v>119</v>
      </c>
      <c r="W74">
        <v>0.62297404242749543</v>
      </c>
      <c r="X74">
        <v>119</v>
      </c>
      <c r="Y74">
        <v>119</v>
      </c>
      <c r="Z74">
        <v>478</v>
      </c>
      <c r="AA74">
        <v>75</v>
      </c>
      <c r="AB74">
        <v>228</v>
      </c>
      <c r="AC74">
        <v>0</v>
      </c>
      <c r="AD74">
        <v>673</v>
      </c>
      <c r="AE74">
        <v>25</v>
      </c>
      <c r="AF74">
        <v>600</v>
      </c>
      <c r="AG74">
        <v>19</v>
      </c>
    </row>
    <row r="75" spans="1:33" x14ac:dyDescent="0.3">
      <c r="A75">
        <v>21622</v>
      </c>
      <c r="B75" t="s">
        <v>1304</v>
      </c>
      <c r="C75" t="s">
        <v>1097</v>
      </c>
      <c r="D75">
        <v>1055</v>
      </c>
      <c r="E75">
        <v>32</v>
      </c>
      <c r="F75">
        <v>32</v>
      </c>
      <c r="G75">
        <v>32</v>
      </c>
      <c r="H75">
        <v>227</v>
      </c>
      <c r="I75">
        <v>0</v>
      </c>
      <c r="J75">
        <v>47</v>
      </c>
      <c r="K75">
        <v>5</v>
      </c>
      <c r="L75">
        <v>433</v>
      </c>
      <c r="M75">
        <v>20</v>
      </c>
      <c r="N75">
        <v>348</v>
      </c>
      <c r="O75">
        <v>7</v>
      </c>
      <c r="R75">
        <v>21710</v>
      </c>
      <c r="S75" t="s">
        <v>1179</v>
      </c>
      <c r="T75" t="s">
        <v>1027</v>
      </c>
      <c r="U75">
        <v>4910</v>
      </c>
      <c r="V75">
        <v>240</v>
      </c>
      <c r="W75">
        <v>0.30889129603696647</v>
      </c>
      <c r="X75">
        <v>240</v>
      </c>
      <c r="Y75">
        <v>240</v>
      </c>
      <c r="Z75">
        <v>346</v>
      </c>
      <c r="AA75">
        <v>13</v>
      </c>
      <c r="AB75">
        <v>223</v>
      </c>
      <c r="AC75">
        <v>42</v>
      </c>
      <c r="AD75">
        <v>892</v>
      </c>
      <c r="AE75">
        <v>170</v>
      </c>
      <c r="AF75">
        <v>3449</v>
      </c>
      <c r="AG75">
        <v>15</v>
      </c>
    </row>
    <row r="76" spans="1:33" x14ac:dyDescent="0.3">
      <c r="A76">
        <v>21624</v>
      </c>
      <c r="B76" t="s">
        <v>1351</v>
      </c>
      <c r="C76" t="s">
        <v>1057</v>
      </c>
      <c r="D76">
        <v>180</v>
      </c>
      <c r="E76">
        <v>7</v>
      </c>
      <c r="F76">
        <v>7</v>
      </c>
      <c r="G76">
        <v>7</v>
      </c>
      <c r="H76">
        <v>65</v>
      </c>
      <c r="I76">
        <v>0</v>
      </c>
      <c r="J76">
        <v>0</v>
      </c>
      <c r="K76">
        <v>0</v>
      </c>
      <c r="L76">
        <v>64</v>
      </c>
      <c r="M76">
        <v>7</v>
      </c>
      <c r="N76">
        <v>51</v>
      </c>
      <c r="O76">
        <v>0</v>
      </c>
      <c r="R76">
        <v>21711</v>
      </c>
      <c r="S76" t="s">
        <v>1234</v>
      </c>
      <c r="T76" t="s">
        <v>999</v>
      </c>
      <c r="U76">
        <v>1093</v>
      </c>
      <c r="V76">
        <v>53</v>
      </c>
      <c r="W76">
        <v>1.3987530386579614</v>
      </c>
      <c r="X76">
        <v>53</v>
      </c>
      <c r="Y76">
        <v>53</v>
      </c>
      <c r="Z76">
        <v>175</v>
      </c>
      <c r="AA76">
        <v>0</v>
      </c>
      <c r="AB76">
        <v>98</v>
      </c>
      <c r="AC76">
        <v>0</v>
      </c>
      <c r="AD76">
        <v>520</v>
      </c>
      <c r="AE76">
        <v>25</v>
      </c>
      <c r="AF76">
        <v>300</v>
      </c>
      <c r="AG76">
        <v>28</v>
      </c>
    </row>
    <row r="77" spans="1:33" x14ac:dyDescent="0.3">
      <c r="A77">
        <v>21626</v>
      </c>
      <c r="B77" t="s">
        <v>1365</v>
      </c>
      <c r="C77" t="s">
        <v>1097</v>
      </c>
      <c r="D77">
        <v>124</v>
      </c>
      <c r="E77">
        <v>0</v>
      </c>
      <c r="F77">
        <v>0</v>
      </c>
      <c r="G77">
        <v>0</v>
      </c>
      <c r="H77">
        <v>21</v>
      </c>
      <c r="I77">
        <v>0</v>
      </c>
      <c r="J77">
        <v>0</v>
      </c>
      <c r="K77">
        <v>0</v>
      </c>
      <c r="L77">
        <v>52</v>
      </c>
      <c r="M77">
        <v>0</v>
      </c>
      <c r="N77">
        <v>51</v>
      </c>
      <c r="O77">
        <v>0</v>
      </c>
      <c r="R77">
        <v>21716</v>
      </c>
      <c r="S77" t="s">
        <v>1194</v>
      </c>
      <c r="T77" t="s">
        <v>1027</v>
      </c>
      <c r="U77">
        <v>5056</v>
      </c>
      <c r="V77">
        <v>100</v>
      </c>
      <c r="W77">
        <v>0.74133911048871948</v>
      </c>
      <c r="X77">
        <v>100</v>
      </c>
      <c r="Y77">
        <v>100</v>
      </c>
      <c r="Z77">
        <v>761</v>
      </c>
      <c r="AA77">
        <v>26</v>
      </c>
      <c r="AB77">
        <v>437</v>
      </c>
      <c r="AC77">
        <v>0</v>
      </c>
      <c r="AD77">
        <v>1181</v>
      </c>
      <c r="AE77">
        <v>48</v>
      </c>
      <c r="AF77">
        <v>2677</v>
      </c>
      <c r="AG77">
        <v>26</v>
      </c>
    </row>
    <row r="78" spans="1:33" x14ac:dyDescent="0.3">
      <c r="A78">
        <v>21627</v>
      </c>
      <c r="B78" t="s">
        <v>1389</v>
      </c>
      <c r="C78" t="s">
        <v>1097</v>
      </c>
      <c r="D78">
        <v>21</v>
      </c>
      <c r="E78">
        <v>0</v>
      </c>
      <c r="F78">
        <v>0</v>
      </c>
      <c r="G78">
        <v>0</v>
      </c>
      <c r="H78">
        <v>10</v>
      </c>
      <c r="I78">
        <v>0</v>
      </c>
      <c r="J78">
        <v>0</v>
      </c>
      <c r="K78">
        <v>0</v>
      </c>
      <c r="L78">
        <v>0</v>
      </c>
      <c r="M78">
        <v>0</v>
      </c>
      <c r="N78">
        <v>11</v>
      </c>
      <c r="O78">
        <v>0</v>
      </c>
      <c r="R78">
        <v>21719</v>
      </c>
      <c r="S78" t="s">
        <v>1243</v>
      </c>
      <c r="T78" t="s">
        <v>999</v>
      </c>
      <c r="U78">
        <v>1010</v>
      </c>
      <c r="V78">
        <v>72</v>
      </c>
      <c r="W78">
        <v>1.0296376534565548</v>
      </c>
      <c r="X78">
        <v>72</v>
      </c>
      <c r="Y78">
        <v>72</v>
      </c>
      <c r="Z78">
        <v>228</v>
      </c>
      <c r="AA78">
        <v>10</v>
      </c>
      <c r="AB78">
        <v>156</v>
      </c>
      <c r="AC78">
        <v>31</v>
      </c>
      <c r="AD78">
        <v>341</v>
      </c>
      <c r="AE78">
        <v>22</v>
      </c>
      <c r="AF78">
        <v>285</v>
      </c>
      <c r="AG78">
        <v>9</v>
      </c>
    </row>
    <row r="79" spans="1:33" x14ac:dyDescent="0.3">
      <c r="A79">
        <v>21631</v>
      </c>
      <c r="B79" t="s">
        <v>1274</v>
      </c>
      <c r="C79" t="s">
        <v>1097</v>
      </c>
      <c r="D79">
        <v>2288</v>
      </c>
      <c r="E79">
        <v>49</v>
      </c>
      <c r="F79">
        <v>49</v>
      </c>
      <c r="G79">
        <v>49</v>
      </c>
      <c r="H79">
        <v>232</v>
      </c>
      <c r="I79">
        <v>15</v>
      </c>
      <c r="J79">
        <v>448</v>
      </c>
      <c r="K79">
        <v>0</v>
      </c>
      <c r="L79">
        <v>709</v>
      </c>
      <c r="M79">
        <v>10</v>
      </c>
      <c r="N79">
        <v>899</v>
      </c>
      <c r="O79">
        <v>24</v>
      </c>
      <c r="R79">
        <v>21727</v>
      </c>
      <c r="S79" t="s">
        <v>1186</v>
      </c>
      <c r="T79" t="s">
        <v>1027</v>
      </c>
      <c r="U79">
        <v>4823</v>
      </c>
      <c r="V79">
        <v>195</v>
      </c>
      <c r="W79">
        <v>0.38017390281472796</v>
      </c>
      <c r="X79">
        <v>195</v>
      </c>
      <c r="Y79">
        <v>195</v>
      </c>
      <c r="Z79">
        <v>741</v>
      </c>
      <c r="AA79">
        <v>25</v>
      </c>
      <c r="AB79">
        <v>532</v>
      </c>
      <c r="AC79">
        <v>16</v>
      </c>
      <c r="AD79">
        <v>1606</v>
      </c>
      <c r="AE79">
        <v>114</v>
      </c>
      <c r="AF79">
        <v>1944</v>
      </c>
      <c r="AG79">
        <v>40</v>
      </c>
    </row>
    <row r="80" spans="1:33" x14ac:dyDescent="0.3">
      <c r="A80">
        <v>21634</v>
      </c>
      <c r="B80" t="s">
        <v>1352</v>
      </c>
      <c r="C80" t="s">
        <v>1097</v>
      </c>
      <c r="D80">
        <v>91</v>
      </c>
      <c r="E80">
        <v>0</v>
      </c>
      <c r="F80">
        <v>0</v>
      </c>
      <c r="G80">
        <v>0</v>
      </c>
      <c r="H80">
        <v>5</v>
      </c>
      <c r="I80">
        <v>0</v>
      </c>
      <c r="J80">
        <v>35</v>
      </c>
      <c r="K80">
        <v>0</v>
      </c>
      <c r="L80">
        <v>40</v>
      </c>
      <c r="M80">
        <v>0</v>
      </c>
      <c r="N80">
        <v>11</v>
      </c>
      <c r="O80">
        <v>0</v>
      </c>
      <c r="R80">
        <v>21734</v>
      </c>
      <c r="S80" t="s">
        <v>1272</v>
      </c>
      <c r="T80" t="s">
        <v>999</v>
      </c>
      <c r="U80">
        <v>698</v>
      </c>
      <c r="V80">
        <v>75</v>
      </c>
      <c r="W80">
        <v>0.98845214731829267</v>
      </c>
      <c r="X80">
        <v>75</v>
      </c>
      <c r="Y80">
        <v>75</v>
      </c>
      <c r="Z80">
        <v>166</v>
      </c>
      <c r="AA80">
        <v>17</v>
      </c>
      <c r="AB80">
        <v>152</v>
      </c>
      <c r="AC80">
        <v>4</v>
      </c>
      <c r="AD80">
        <v>231</v>
      </c>
      <c r="AE80">
        <v>44</v>
      </c>
      <c r="AF80">
        <v>149</v>
      </c>
      <c r="AG80">
        <v>10</v>
      </c>
    </row>
    <row r="81" spans="1:33" x14ac:dyDescent="0.3">
      <c r="A81">
        <v>21636</v>
      </c>
      <c r="B81" t="s">
        <v>1275</v>
      </c>
      <c r="C81" t="s">
        <v>1095</v>
      </c>
      <c r="D81">
        <v>1015</v>
      </c>
      <c r="E81">
        <v>47</v>
      </c>
      <c r="F81">
        <v>47</v>
      </c>
      <c r="G81">
        <v>47</v>
      </c>
      <c r="H81">
        <v>94</v>
      </c>
      <c r="I81">
        <v>15</v>
      </c>
      <c r="J81">
        <v>133</v>
      </c>
      <c r="K81">
        <v>12</v>
      </c>
      <c r="L81">
        <v>316</v>
      </c>
      <c r="M81">
        <v>16</v>
      </c>
      <c r="N81">
        <v>472</v>
      </c>
      <c r="O81">
        <v>4</v>
      </c>
      <c r="R81">
        <v>21750</v>
      </c>
      <c r="S81" t="s">
        <v>1207</v>
      </c>
      <c r="T81" t="s">
        <v>999</v>
      </c>
      <c r="U81">
        <v>3679</v>
      </c>
      <c r="V81">
        <v>188</v>
      </c>
      <c r="W81">
        <v>0.39432931408974442</v>
      </c>
      <c r="X81">
        <v>188</v>
      </c>
      <c r="Y81">
        <v>188</v>
      </c>
      <c r="Z81">
        <v>742</v>
      </c>
      <c r="AA81">
        <v>24</v>
      </c>
      <c r="AB81">
        <v>631</v>
      </c>
      <c r="AC81">
        <v>60</v>
      </c>
      <c r="AD81">
        <v>1247</v>
      </c>
      <c r="AE81">
        <v>59</v>
      </c>
      <c r="AF81">
        <v>1059</v>
      </c>
      <c r="AG81">
        <v>45</v>
      </c>
    </row>
    <row r="82" spans="1:33" x14ac:dyDescent="0.3">
      <c r="A82">
        <v>21641</v>
      </c>
      <c r="B82" t="s">
        <v>1339</v>
      </c>
      <c r="C82" t="s">
        <v>1095</v>
      </c>
      <c r="D82">
        <v>89</v>
      </c>
      <c r="E82">
        <v>6</v>
      </c>
      <c r="F82">
        <v>6</v>
      </c>
      <c r="G82">
        <v>6</v>
      </c>
      <c r="H82">
        <v>36</v>
      </c>
      <c r="I82">
        <v>4</v>
      </c>
      <c r="J82">
        <v>12</v>
      </c>
      <c r="K82">
        <v>0</v>
      </c>
      <c r="L82">
        <v>14</v>
      </c>
      <c r="M82">
        <v>0</v>
      </c>
      <c r="N82">
        <v>27</v>
      </c>
      <c r="O82">
        <v>2</v>
      </c>
      <c r="R82">
        <v>21754</v>
      </c>
      <c r="S82" t="s">
        <v>1227</v>
      </c>
      <c r="T82" t="s">
        <v>1027</v>
      </c>
      <c r="U82">
        <v>6194</v>
      </c>
      <c r="V82">
        <v>161</v>
      </c>
      <c r="W82">
        <v>0.46045907483771398</v>
      </c>
      <c r="X82">
        <v>161</v>
      </c>
      <c r="Y82">
        <v>161</v>
      </c>
      <c r="Z82">
        <v>507</v>
      </c>
      <c r="AA82">
        <v>92</v>
      </c>
      <c r="AB82">
        <v>344</v>
      </c>
      <c r="AC82">
        <v>10</v>
      </c>
      <c r="AD82">
        <v>990</v>
      </c>
      <c r="AE82">
        <v>15</v>
      </c>
      <c r="AF82">
        <v>4353</v>
      </c>
      <c r="AG82">
        <v>44</v>
      </c>
    </row>
    <row r="83" spans="1:33" x14ac:dyDescent="0.3">
      <c r="A83">
        <v>21644</v>
      </c>
      <c r="B83" t="s">
        <v>1390</v>
      </c>
      <c r="C83" t="s">
        <v>1141</v>
      </c>
      <c r="D83">
        <v>205</v>
      </c>
      <c r="E83">
        <v>0</v>
      </c>
      <c r="F83">
        <v>0</v>
      </c>
      <c r="G83">
        <v>0</v>
      </c>
      <c r="H83">
        <v>3</v>
      </c>
      <c r="I83">
        <v>0</v>
      </c>
      <c r="J83">
        <v>10</v>
      </c>
      <c r="K83">
        <v>0</v>
      </c>
      <c r="L83">
        <v>175</v>
      </c>
      <c r="M83">
        <v>0</v>
      </c>
      <c r="N83">
        <v>17</v>
      </c>
      <c r="O83">
        <v>0</v>
      </c>
      <c r="R83">
        <v>21755</v>
      </c>
      <c r="S83" t="s">
        <v>1204</v>
      </c>
      <c r="T83" t="s">
        <v>1027</v>
      </c>
      <c r="U83">
        <v>5548</v>
      </c>
      <c r="V83">
        <v>143</v>
      </c>
      <c r="W83">
        <v>0.51841895838371999</v>
      </c>
      <c r="X83">
        <v>143</v>
      </c>
      <c r="Y83">
        <v>143</v>
      </c>
      <c r="Z83">
        <v>314</v>
      </c>
      <c r="AA83">
        <v>25</v>
      </c>
      <c r="AB83">
        <v>275</v>
      </c>
      <c r="AC83">
        <v>53</v>
      </c>
      <c r="AD83">
        <v>944</v>
      </c>
      <c r="AE83">
        <v>18</v>
      </c>
      <c r="AF83">
        <v>4015</v>
      </c>
      <c r="AG83">
        <v>47</v>
      </c>
    </row>
    <row r="84" spans="1:33" x14ac:dyDescent="0.3">
      <c r="A84">
        <v>21647</v>
      </c>
      <c r="B84" t="s">
        <v>1355</v>
      </c>
      <c r="C84" t="s">
        <v>1057</v>
      </c>
      <c r="D84">
        <v>161</v>
      </c>
      <c r="E84">
        <v>23</v>
      </c>
      <c r="F84">
        <v>23</v>
      </c>
      <c r="G84">
        <v>23</v>
      </c>
      <c r="H84">
        <v>17</v>
      </c>
      <c r="I84">
        <v>0</v>
      </c>
      <c r="J84">
        <v>0</v>
      </c>
      <c r="K84">
        <v>0</v>
      </c>
      <c r="L84">
        <v>31</v>
      </c>
      <c r="M84">
        <v>11</v>
      </c>
      <c r="N84">
        <v>113</v>
      </c>
      <c r="O84">
        <v>12</v>
      </c>
      <c r="R84">
        <v>21756</v>
      </c>
      <c r="S84" t="s">
        <v>1198</v>
      </c>
      <c r="T84" t="s">
        <v>999</v>
      </c>
      <c r="U84">
        <v>3635</v>
      </c>
      <c r="V84">
        <v>181</v>
      </c>
      <c r="W84">
        <v>0.40957961905454116</v>
      </c>
      <c r="X84">
        <v>181</v>
      </c>
      <c r="Y84">
        <v>181</v>
      </c>
      <c r="Z84">
        <v>485</v>
      </c>
      <c r="AA84">
        <v>87</v>
      </c>
      <c r="AB84">
        <v>425</v>
      </c>
      <c r="AC84">
        <v>79</v>
      </c>
      <c r="AD84">
        <v>737</v>
      </c>
      <c r="AE84">
        <v>15</v>
      </c>
      <c r="AF84">
        <v>1988</v>
      </c>
      <c r="AG84">
        <v>0</v>
      </c>
    </row>
    <row r="85" spans="1:33" x14ac:dyDescent="0.3">
      <c r="A85">
        <v>21648</v>
      </c>
      <c r="B85" t="s">
        <v>1322</v>
      </c>
      <c r="C85" t="s">
        <v>1097</v>
      </c>
      <c r="D85">
        <v>274</v>
      </c>
      <c r="E85">
        <v>25</v>
      </c>
      <c r="F85">
        <v>25</v>
      </c>
      <c r="G85">
        <v>25</v>
      </c>
      <c r="H85">
        <v>30</v>
      </c>
      <c r="I85">
        <v>25</v>
      </c>
      <c r="J85">
        <v>54</v>
      </c>
      <c r="K85">
        <v>0</v>
      </c>
      <c r="L85">
        <v>145</v>
      </c>
      <c r="M85">
        <v>0</v>
      </c>
      <c r="N85">
        <v>45</v>
      </c>
      <c r="O85">
        <v>0</v>
      </c>
      <c r="R85">
        <v>21758</v>
      </c>
      <c r="S85" t="s">
        <v>1206</v>
      </c>
      <c r="T85" t="s">
        <v>1027</v>
      </c>
      <c r="U85">
        <v>4783</v>
      </c>
      <c r="V85">
        <v>154</v>
      </c>
      <c r="W85">
        <v>0.48138903278488282</v>
      </c>
      <c r="X85">
        <v>154</v>
      </c>
      <c r="Y85">
        <v>154</v>
      </c>
      <c r="Z85">
        <v>589</v>
      </c>
      <c r="AA85">
        <v>43</v>
      </c>
      <c r="AB85">
        <v>241</v>
      </c>
      <c r="AC85">
        <v>8</v>
      </c>
      <c r="AD85">
        <v>1509</v>
      </c>
      <c r="AE85">
        <v>16</v>
      </c>
      <c r="AF85">
        <v>2444</v>
      </c>
      <c r="AG85">
        <v>87</v>
      </c>
    </row>
    <row r="86" spans="1:33" x14ac:dyDescent="0.3">
      <c r="A86">
        <v>21650</v>
      </c>
      <c r="B86" t="s">
        <v>1391</v>
      </c>
      <c r="C86" t="s">
        <v>1131</v>
      </c>
      <c r="D86">
        <v>144</v>
      </c>
      <c r="E86">
        <v>0</v>
      </c>
      <c r="F86">
        <v>0</v>
      </c>
      <c r="G86">
        <v>0</v>
      </c>
      <c r="H86">
        <v>0</v>
      </c>
      <c r="I86">
        <v>0</v>
      </c>
      <c r="J86">
        <v>0</v>
      </c>
      <c r="K86">
        <v>0</v>
      </c>
      <c r="L86">
        <v>96</v>
      </c>
      <c r="M86">
        <v>0</v>
      </c>
      <c r="N86">
        <v>48</v>
      </c>
      <c r="O86">
        <v>0</v>
      </c>
      <c r="R86">
        <v>21767</v>
      </c>
      <c r="S86" t="s">
        <v>1289</v>
      </c>
      <c r="T86" t="s">
        <v>999</v>
      </c>
      <c r="U86">
        <v>1149</v>
      </c>
      <c r="V86">
        <v>53</v>
      </c>
      <c r="W86">
        <v>1.3987530386579614</v>
      </c>
      <c r="X86">
        <v>53</v>
      </c>
      <c r="Y86">
        <v>53</v>
      </c>
      <c r="Z86">
        <v>184</v>
      </c>
      <c r="AA86">
        <v>42</v>
      </c>
      <c r="AB86">
        <v>205</v>
      </c>
      <c r="AC86">
        <v>0</v>
      </c>
      <c r="AD86">
        <v>600</v>
      </c>
      <c r="AE86">
        <v>11</v>
      </c>
      <c r="AF86">
        <v>160</v>
      </c>
      <c r="AG86">
        <v>0</v>
      </c>
    </row>
    <row r="87" spans="1:33" x14ac:dyDescent="0.3">
      <c r="A87">
        <v>21652</v>
      </c>
      <c r="B87" t="s">
        <v>1392</v>
      </c>
      <c r="C87" t="s">
        <v>1057</v>
      </c>
      <c r="D87">
        <v>125</v>
      </c>
      <c r="E87">
        <v>0</v>
      </c>
      <c r="F87">
        <v>0</v>
      </c>
      <c r="G87">
        <v>0</v>
      </c>
      <c r="H87">
        <v>8</v>
      </c>
      <c r="I87">
        <v>0</v>
      </c>
      <c r="J87">
        <v>0</v>
      </c>
      <c r="K87">
        <v>0</v>
      </c>
      <c r="L87">
        <v>9</v>
      </c>
      <c r="M87">
        <v>0</v>
      </c>
      <c r="N87">
        <v>108</v>
      </c>
      <c r="O87">
        <v>0</v>
      </c>
      <c r="R87">
        <v>21770</v>
      </c>
      <c r="S87" t="s">
        <v>1228</v>
      </c>
      <c r="T87" t="s">
        <v>1027</v>
      </c>
      <c r="U87">
        <v>5021</v>
      </c>
      <c r="V87">
        <v>173</v>
      </c>
      <c r="W87">
        <v>0.42851971704550262</v>
      </c>
      <c r="X87">
        <v>173</v>
      </c>
      <c r="Y87">
        <v>173</v>
      </c>
      <c r="Z87">
        <v>121</v>
      </c>
      <c r="AA87">
        <v>7</v>
      </c>
      <c r="AB87">
        <v>127</v>
      </c>
      <c r="AC87">
        <v>0</v>
      </c>
      <c r="AD87">
        <v>1104</v>
      </c>
      <c r="AE87">
        <v>166</v>
      </c>
      <c r="AF87">
        <v>3669</v>
      </c>
      <c r="AG87">
        <v>0</v>
      </c>
    </row>
    <row r="88" spans="1:33" x14ac:dyDescent="0.3">
      <c r="A88">
        <v>21653</v>
      </c>
      <c r="B88" t="s">
        <v>1370</v>
      </c>
      <c r="C88" t="s">
        <v>1057</v>
      </c>
      <c r="D88">
        <v>91</v>
      </c>
      <c r="E88">
        <v>6</v>
      </c>
      <c r="F88">
        <v>6</v>
      </c>
      <c r="G88">
        <v>6</v>
      </c>
      <c r="H88">
        <v>0</v>
      </c>
      <c r="I88">
        <v>0</v>
      </c>
      <c r="J88">
        <v>0</v>
      </c>
      <c r="K88">
        <v>0</v>
      </c>
      <c r="L88">
        <v>24</v>
      </c>
      <c r="M88">
        <v>0</v>
      </c>
      <c r="N88">
        <v>67</v>
      </c>
      <c r="O88">
        <v>6</v>
      </c>
      <c r="R88">
        <v>21773</v>
      </c>
      <c r="S88" t="s">
        <v>1212</v>
      </c>
      <c r="T88" t="s">
        <v>1027</v>
      </c>
      <c r="U88">
        <v>5569</v>
      </c>
      <c r="V88">
        <v>200</v>
      </c>
      <c r="W88">
        <v>0.37066955524435974</v>
      </c>
      <c r="X88">
        <v>200</v>
      </c>
      <c r="Y88">
        <v>200</v>
      </c>
      <c r="Z88">
        <v>322</v>
      </c>
      <c r="AA88">
        <v>40</v>
      </c>
      <c r="AB88">
        <v>262</v>
      </c>
      <c r="AC88">
        <v>15</v>
      </c>
      <c r="AD88">
        <v>1542</v>
      </c>
      <c r="AE88">
        <v>74</v>
      </c>
      <c r="AF88">
        <v>3443</v>
      </c>
      <c r="AG88">
        <v>71</v>
      </c>
    </row>
    <row r="89" spans="1:33" x14ac:dyDescent="0.3">
      <c r="A89">
        <v>21654</v>
      </c>
      <c r="B89" t="s">
        <v>1296</v>
      </c>
      <c r="C89" t="s">
        <v>1057</v>
      </c>
      <c r="D89">
        <v>1037</v>
      </c>
      <c r="E89">
        <v>18</v>
      </c>
      <c r="F89">
        <v>18</v>
      </c>
      <c r="G89">
        <v>18</v>
      </c>
      <c r="H89">
        <v>90</v>
      </c>
      <c r="I89">
        <v>0</v>
      </c>
      <c r="J89">
        <v>151</v>
      </c>
      <c r="K89">
        <v>16</v>
      </c>
      <c r="L89">
        <v>177</v>
      </c>
      <c r="M89">
        <v>2</v>
      </c>
      <c r="N89">
        <v>619</v>
      </c>
      <c r="O89">
        <v>0</v>
      </c>
      <c r="R89">
        <v>21776</v>
      </c>
      <c r="S89" t="s">
        <v>1226</v>
      </c>
      <c r="T89" t="s">
        <v>1041</v>
      </c>
      <c r="U89">
        <v>5308</v>
      </c>
      <c r="V89">
        <v>149</v>
      </c>
      <c r="W89">
        <v>0.49754302717363724</v>
      </c>
      <c r="X89">
        <v>149</v>
      </c>
      <c r="Y89">
        <v>149</v>
      </c>
      <c r="Z89">
        <v>564</v>
      </c>
      <c r="AA89">
        <v>46</v>
      </c>
      <c r="AB89">
        <v>503</v>
      </c>
      <c r="AC89">
        <v>10</v>
      </c>
      <c r="AD89">
        <v>1445</v>
      </c>
      <c r="AE89">
        <v>83</v>
      </c>
      <c r="AF89">
        <v>2796</v>
      </c>
      <c r="AG89">
        <v>10</v>
      </c>
    </row>
    <row r="90" spans="1:33" x14ac:dyDescent="0.3">
      <c r="A90">
        <v>21662</v>
      </c>
      <c r="B90" t="s">
        <v>1327</v>
      </c>
      <c r="C90" t="s">
        <v>1057</v>
      </c>
      <c r="D90">
        <v>466</v>
      </c>
      <c r="E90">
        <v>6</v>
      </c>
      <c r="F90">
        <v>6</v>
      </c>
      <c r="G90">
        <v>6</v>
      </c>
      <c r="H90">
        <v>25</v>
      </c>
      <c r="I90">
        <v>6</v>
      </c>
      <c r="J90">
        <v>39</v>
      </c>
      <c r="K90">
        <v>0</v>
      </c>
      <c r="L90">
        <v>166</v>
      </c>
      <c r="M90">
        <v>0</v>
      </c>
      <c r="N90">
        <v>236</v>
      </c>
      <c r="O90">
        <v>0</v>
      </c>
      <c r="R90">
        <v>21777</v>
      </c>
      <c r="S90" t="s">
        <v>1282</v>
      </c>
      <c r="T90" t="s">
        <v>1027</v>
      </c>
      <c r="U90">
        <v>1761</v>
      </c>
      <c r="V90">
        <v>64</v>
      </c>
      <c r="W90">
        <v>1.1583423601386242</v>
      </c>
      <c r="X90">
        <v>64</v>
      </c>
      <c r="Y90">
        <v>64</v>
      </c>
      <c r="Z90">
        <v>91</v>
      </c>
      <c r="AA90">
        <v>22</v>
      </c>
      <c r="AB90">
        <v>54</v>
      </c>
      <c r="AC90">
        <v>22</v>
      </c>
      <c r="AD90">
        <v>535</v>
      </c>
      <c r="AE90">
        <v>0</v>
      </c>
      <c r="AF90">
        <v>1081</v>
      </c>
      <c r="AG90">
        <v>20</v>
      </c>
    </row>
    <row r="91" spans="1:33" x14ac:dyDescent="0.3">
      <c r="A91">
        <v>21665</v>
      </c>
      <c r="B91" t="s">
        <v>1279</v>
      </c>
      <c r="C91" t="s">
        <v>1057</v>
      </c>
      <c r="D91">
        <v>303</v>
      </c>
      <c r="E91">
        <v>16</v>
      </c>
      <c r="F91">
        <v>16</v>
      </c>
      <c r="G91">
        <v>16</v>
      </c>
      <c r="H91">
        <v>52</v>
      </c>
      <c r="I91">
        <v>10</v>
      </c>
      <c r="J91">
        <v>24</v>
      </c>
      <c r="K91">
        <v>0</v>
      </c>
      <c r="L91">
        <v>54</v>
      </c>
      <c r="M91">
        <v>6</v>
      </c>
      <c r="N91">
        <v>173</v>
      </c>
      <c r="O91">
        <v>0</v>
      </c>
      <c r="R91">
        <v>21778</v>
      </c>
      <c r="S91" t="s">
        <v>1276</v>
      </c>
      <c r="T91" t="s">
        <v>1027</v>
      </c>
      <c r="U91">
        <v>1364</v>
      </c>
      <c r="V91">
        <v>88</v>
      </c>
      <c r="W91">
        <v>0.84243080737354492</v>
      </c>
      <c r="X91">
        <v>88</v>
      </c>
      <c r="Y91">
        <v>88</v>
      </c>
      <c r="Z91">
        <v>83</v>
      </c>
      <c r="AA91">
        <v>17</v>
      </c>
      <c r="AB91">
        <v>9</v>
      </c>
      <c r="AC91">
        <v>0</v>
      </c>
      <c r="AD91">
        <v>357</v>
      </c>
      <c r="AE91">
        <v>0</v>
      </c>
      <c r="AF91">
        <v>915</v>
      </c>
      <c r="AG91">
        <v>71</v>
      </c>
    </row>
    <row r="92" spans="1:33" x14ac:dyDescent="0.3">
      <c r="A92">
        <v>21667</v>
      </c>
      <c r="B92" t="s">
        <v>1393</v>
      </c>
      <c r="C92" t="s">
        <v>1131</v>
      </c>
      <c r="D92">
        <v>266</v>
      </c>
      <c r="E92">
        <v>0</v>
      </c>
      <c r="F92">
        <v>0</v>
      </c>
      <c r="G92">
        <v>0</v>
      </c>
      <c r="H92">
        <v>0</v>
      </c>
      <c r="I92">
        <v>0</v>
      </c>
      <c r="J92">
        <v>85</v>
      </c>
      <c r="K92">
        <v>0</v>
      </c>
      <c r="L92">
        <v>40</v>
      </c>
      <c r="M92">
        <v>0</v>
      </c>
      <c r="N92">
        <v>141</v>
      </c>
      <c r="O92">
        <v>0</v>
      </c>
      <c r="R92">
        <v>21780</v>
      </c>
      <c r="S92" t="s">
        <v>1249</v>
      </c>
      <c r="T92" t="s">
        <v>1027</v>
      </c>
      <c r="U92">
        <v>1385</v>
      </c>
      <c r="V92">
        <v>86</v>
      </c>
      <c r="W92">
        <v>0.86202222149851104</v>
      </c>
      <c r="X92">
        <v>86</v>
      </c>
      <c r="Y92">
        <v>86</v>
      </c>
      <c r="Z92">
        <v>209</v>
      </c>
      <c r="AA92">
        <v>20</v>
      </c>
      <c r="AB92">
        <v>116</v>
      </c>
      <c r="AC92">
        <v>0</v>
      </c>
      <c r="AD92">
        <v>574</v>
      </c>
      <c r="AE92">
        <v>66</v>
      </c>
      <c r="AF92">
        <v>486</v>
      </c>
      <c r="AG92">
        <v>0</v>
      </c>
    </row>
    <row r="93" spans="1:33" x14ac:dyDescent="0.3">
      <c r="A93">
        <v>21669</v>
      </c>
      <c r="B93" t="s">
        <v>1342</v>
      </c>
      <c r="C93" t="s">
        <v>1097</v>
      </c>
      <c r="D93">
        <v>201</v>
      </c>
      <c r="E93">
        <v>0</v>
      </c>
      <c r="F93">
        <v>0</v>
      </c>
      <c r="G93">
        <v>0</v>
      </c>
      <c r="H93">
        <v>0</v>
      </c>
      <c r="I93">
        <v>0</v>
      </c>
      <c r="J93">
        <v>0</v>
      </c>
      <c r="K93">
        <v>0</v>
      </c>
      <c r="L93">
        <v>133</v>
      </c>
      <c r="M93">
        <v>0</v>
      </c>
      <c r="N93">
        <v>68</v>
      </c>
      <c r="O93">
        <v>0</v>
      </c>
      <c r="R93">
        <v>21782</v>
      </c>
      <c r="S93" t="s">
        <v>1160</v>
      </c>
      <c r="T93" t="s">
        <v>999</v>
      </c>
      <c r="U93">
        <v>3937</v>
      </c>
      <c r="V93">
        <v>143</v>
      </c>
      <c r="W93">
        <v>0.51841895838371999</v>
      </c>
      <c r="X93">
        <v>143</v>
      </c>
      <c r="Y93">
        <v>143</v>
      </c>
      <c r="Z93">
        <v>304</v>
      </c>
      <c r="AA93">
        <v>17</v>
      </c>
      <c r="AB93">
        <v>366</v>
      </c>
      <c r="AC93">
        <v>52</v>
      </c>
      <c r="AD93">
        <v>1403</v>
      </c>
      <c r="AE93">
        <v>62</v>
      </c>
      <c r="AF93">
        <v>1864</v>
      </c>
      <c r="AG93">
        <v>12</v>
      </c>
    </row>
    <row r="94" spans="1:33" x14ac:dyDescent="0.3">
      <c r="A94">
        <v>21672</v>
      </c>
      <c r="B94" t="s">
        <v>1336</v>
      </c>
      <c r="C94" t="s">
        <v>1097</v>
      </c>
      <c r="D94">
        <v>178</v>
      </c>
      <c r="E94">
        <v>20</v>
      </c>
      <c r="F94">
        <v>20</v>
      </c>
      <c r="G94">
        <v>20</v>
      </c>
      <c r="H94">
        <v>27</v>
      </c>
      <c r="I94">
        <v>15</v>
      </c>
      <c r="J94">
        <v>12</v>
      </c>
      <c r="K94">
        <v>0</v>
      </c>
      <c r="L94">
        <v>85</v>
      </c>
      <c r="M94">
        <v>5</v>
      </c>
      <c r="N94">
        <v>54</v>
      </c>
      <c r="O94">
        <v>0</v>
      </c>
      <c r="R94">
        <v>21798</v>
      </c>
      <c r="S94" t="s">
        <v>1247</v>
      </c>
      <c r="T94" t="s">
        <v>1027</v>
      </c>
      <c r="U94">
        <v>1862</v>
      </c>
      <c r="V94">
        <v>83</v>
      </c>
      <c r="W94">
        <v>0.89317965119122833</v>
      </c>
      <c r="X94">
        <v>83</v>
      </c>
      <c r="Y94">
        <v>83</v>
      </c>
      <c r="Z94">
        <v>258</v>
      </c>
      <c r="AA94">
        <v>5</v>
      </c>
      <c r="AB94">
        <v>142</v>
      </c>
      <c r="AC94">
        <v>3</v>
      </c>
      <c r="AD94">
        <v>253</v>
      </c>
      <c r="AE94">
        <v>14</v>
      </c>
      <c r="AF94">
        <v>1209</v>
      </c>
      <c r="AG94">
        <v>61</v>
      </c>
    </row>
    <row r="95" spans="1:33" x14ac:dyDescent="0.3">
      <c r="A95">
        <v>21675</v>
      </c>
      <c r="B95" t="s">
        <v>1394</v>
      </c>
      <c r="C95" t="s">
        <v>1097</v>
      </c>
      <c r="D95">
        <v>184</v>
      </c>
      <c r="E95">
        <v>0</v>
      </c>
      <c r="F95">
        <v>0</v>
      </c>
      <c r="G95">
        <v>0</v>
      </c>
      <c r="H95">
        <v>94</v>
      </c>
      <c r="I95">
        <v>0</v>
      </c>
      <c r="J95">
        <v>6</v>
      </c>
      <c r="K95">
        <v>0</v>
      </c>
      <c r="L95">
        <v>59</v>
      </c>
      <c r="M95">
        <v>0</v>
      </c>
      <c r="N95">
        <v>25</v>
      </c>
      <c r="O95">
        <v>0</v>
      </c>
      <c r="R95">
        <v>21813</v>
      </c>
      <c r="S95" t="s">
        <v>1277</v>
      </c>
      <c r="T95" t="s">
        <v>1062</v>
      </c>
      <c r="U95">
        <v>2921</v>
      </c>
      <c r="V95">
        <v>111</v>
      </c>
      <c r="W95">
        <v>0.66787307251235994</v>
      </c>
      <c r="X95">
        <v>111</v>
      </c>
      <c r="Y95">
        <v>111</v>
      </c>
      <c r="Z95">
        <v>204</v>
      </c>
      <c r="AA95">
        <v>0</v>
      </c>
      <c r="AB95">
        <v>147</v>
      </c>
      <c r="AC95">
        <v>0</v>
      </c>
      <c r="AD95">
        <v>1195</v>
      </c>
      <c r="AE95">
        <v>20</v>
      </c>
      <c r="AF95">
        <v>1375</v>
      </c>
      <c r="AG95">
        <v>91</v>
      </c>
    </row>
    <row r="96" spans="1:33" x14ac:dyDescent="0.3">
      <c r="A96">
        <v>21677</v>
      </c>
      <c r="B96" t="s">
        <v>1362</v>
      </c>
      <c r="C96" t="s">
        <v>1097</v>
      </c>
      <c r="D96">
        <v>382</v>
      </c>
      <c r="E96">
        <v>13</v>
      </c>
      <c r="F96">
        <v>13</v>
      </c>
      <c r="G96">
        <v>13</v>
      </c>
      <c r="H96">
        <v>14</v>
      </c>
      <c r="I96">
        <v>0</v>
      </c>
      <c r="J96">
        <v>38</v>
      </c>
      <c r="K96">
        <v>0</v>
      </c>
      <c r="L96">
        <v>150</v>
      </c>
      <c r="M96">
        <v>0</v>
      </c>
      <c r="N96">
        <v>180</v>
      </c>
      <c r="O96">
        <v>13</v>
      </c>
      <c r="R96">
        <v>21821</v>
      </c>
      <c r="S96" t="s">
        <v>1300</v>
      </c>
      <c r="T96" t="s">
        <v>1108</v>
      </c>
      <c r="U96">
        <v>992</v>
      </c>
      <c r="V96">
        <v>106</v>
      </c>
      <c r="W96">
        <v>0.69937651932898071</v>
      </c>
      <c r="X96">
        <v>106</v>
      </c>
      <c r="Y96">
        <v>106</v>
      </c>
      <c r="Z96">
        <v>225</v>
      </c>
      <c r="AA96">
        <v>22</v>
      </c>
      <c r="AB96">
        <v>137</v>
      </c>
      <c r="AC96">
        <v>0</v>
      </c>
      <c r="AD96">
        <v>361</v>
      </c>
      <c r="AE96">
        <v>80</v>
      </c>
      <c r="AF96">
        <v>269</v>
      </c>
      <c r="AG96">
        <v>4</v>
      </c>
    </row>
    <row r="97" spans="1:33" x14ac:dyDescent="0.3">
      <c r="A97">
        <v>21679</v>
      </c>
      <c r="B97" t="s">
        <v>1395</v>
      </c>
      <c r="C97" t="s">
        <v>1057</v>
      </c>
      <c r="D97">
        <v>350</v>
      </c>
      <c r="E97">
        <v>0</v>
      </c>
      <c r="F97">
        <v>0</v>
      </c>
      <c r="G97">
        <v>0</v>
      </c>
      <c r="H97">
        <v>0</v>
      </c>
      <c r="I97">
        <v>0</v>
      </c>
      <c r="J97">
        <v>0</v>
      </c>
      <c r="K97">
        <v>0</v>
      </c>
      <c r="L97">
        <v>95</v>
      </c>
      <c r="M97">
        <v>0</v>
      </c>
      <c r="N97">
        <v>255</v>
      </c>
      <c r="O97">
        <v>0</v>
      </c>
      <c r="R97">
        <v>21830</v>
      </c>
      <c r="S97" t="s">
        <v>1187</v>
      </c>
      <c r="T97" t="s">
        <v>1021</v>
      </c>
      <c r="U97">
        <v>3602</v>
      </c>
      <c r="V97">
        <v>203</v>
      </c>
      <c r="W97">
        <v>0.36519168004370417</v>
      </c>
      <c r="X97">
        <v>203</v>
      </c>
      <c r="Y97">
        <v>203</v>
      </c>
      <c r="Z97">
        <v>285</v>
      </c>
      <c r="AA97">
        <v>0</v>
      </c>
      <c r="AB97">
        <v>570</v>
      </c>
      <c r="AC97">
        <v>98</v>
      </c>
      <c r="AD97">
        <v>1382</v>
      </c>
      <c r="AE97">
        <v>50</v>
      </c>
      <c r="AF97">
        <v>1365</v>
      </c>
      <c r="AG97">
        <v>55</v>
      </c>
    </row>
    <row r="98" spans="1:33" x14ac:dyDescent="0.3">
      <c r="A98">
        <v>21705</v>
      </c>
      <c r="B98" t="s">
        <v>1027</v>
      </c>
      <c r="C98" t="s">
        <v>1027</v>
      </c>
      <c r="D98">
        <v>0</v>
      </c>
      <c r="E98">
        <v>0</v>
      </c>
      <c r="F98">
        <v>0</v>
      </c>
      <c r="G98">
        <v>0</v>
      </c>
      <c r="H98">
        <v>0</v>
      </c>
      <c r="I98">
        <v>0</v>
      </c>
      <c r="J98">
        <v>0</v>
      </c>
      <c r="K98">
        <v>0</v>
      </c>
      <c r="L98">
        <v>0</v>
      </c>
      <c r="M98">
        <v>0</v>
      </c>
      <c r="N98">
        <v>0</v>
      </c>
      <c r="O98">
        <v>0</v>
      </c>
      <c r="R98">
        <v>21835</v>
      </c>
      <c r="S98" t="s">
        <v>1253</v>
      </c>
      <c r="T98" t="s">
        <v>1097</v>
      </c>
      <c r="U98">
        <v>406</v>
      </c>
      <c r="V98">
        <v>75</v>
      </c>
      <c r="W98">
        <v>0.98845214731829267</v>
      </c>
      <c r="X98">
        <v>75</v>
      </c>
      <c r="Y98">
        <v>75</v>
      </c>
      <c r="Z98">
        <v>46</v>
      </c>
      <c r="AA98">
        <v>0</v>
      </c>
      <c r="AB98">
        <v>0</v>
      </c>
      <c r="AC98">
        <v>0</v>
      </c>
      <c r="AD98">
        <v>210</v>
      </c>
      <c r="AE98">
        <v>43</v>
      </c>
      <c r="AF98">
        <v>150</v>
      </c>
      <c r="AG98">
        <v>32</v>
      </c>
    </row>
    <row r="99" spans="1:33" x14ac:dyDescent="0.3">
      <c r="A99">
        <v>21714</v>
      </c>
      <c r="B99" t="s">
        <v>1396</v>
      </c>
      <c r="C99" t="s">
        <v>1027</v>
      </c>
      <c r="D99">
        <v>196</v>
      </c>
      <c r="E99">
        <v>0</v>
      </c>
      <c r="F99">
        <v>0</v>
      </c>
      <c r="G99">
        <v>0</v>
      </c>
      <c r="H99">
        <v>0</v>
      </c>
      <c r="I99">
        <v>0</v>
      </c>
      <c r="J99">
        <v>0</v>
      </c>
      <c r="K99">
        <v>0</v>
      </c>
      <c r="L99">
        <v>152</v>
      </c>
      <c r="M99">
        <v>0</v>
      </c>
      <c r="N99">
        <v>44</v>
      </c>
      <c r="O99">
        <v>0</v>
      </c>
      <c r="R99">
        <v>21837</v>
      </c>
      <c r="S99" t="s">
        <v>1219</v>
      </c>
      <c r="T99" t="s">
        <v>1021</v>
      </c>
      <c r="U99">
        <v>3093</v>
      </c>
      <c r="V99">
        <v>209</v>
      </c>
      <c r="W99">
        <v>0.35470770836780841</v>
      </c>
      <c r="X99">
        <v>209</v>
      </c>
      <c r="Y99">
        <v>209</v>
      </c>
      <c r="Z99">
        <v>664</v>
      </c>
      <c r="AA99">
        <v>69</v>
      </c>
      <c r="AB99">
        <v>298</v>
      </c>
      <c r="AC99">
        <v>27</v>
      </c>
      <c r="AD99">
        <v>1141</v>
      </c>
      <c r="AE99">
        <v>66</v>
      </c>
      <c r="AF99">
        <v>990</v>
      </c>
      <c r="AG99">
        <v>47</v>
      </c>
    </row>
    <row r="100" spans="1:33" x14ac:dyDescent="0.3">
      <c r="A100">
        <v>21717</v>
      </c>
      <c r="B100" t="s">
        <v>1397</v>
      </c>
      <c r="C100" t="s">
        <v>1027</v>
      </c>
      <c r="D100">
        <v>70</v>
      </c>
      <c r="E100">
        <v>0</v>
      </c>
      <c r="F100">
        <v>0</v>
      </c>
      <c r="G100">
        <v>0</v>
      </c>
      <c r="H100">
        <v>0</v>
      </c>
      <c r="I100">
        <v>0</v>
      </c>
      <c r="J100">
        <v>0</v>
      </c>
      <c r="K100">
        <v>0</v>
      </c>
      <c r="L100">
        <v>39</v>
      </c>
      <c r="M100">
        <v>0</v>
      </c>
      <c r="N100">
        <v>31</v>
      </c>
      <c r="O100">
        <v>0</v>
      </c>
      <c r="R100">
        <v>21838</v>
      </c>
      <c r="S100" t="s">
        <v>1209</v>
      </c>
      <c r="T100" t="s">
        <v>1108</v>
      </c>
      <c r="U100">
        <v>1589</v>
      </c>
      <c r="V100">
        <v>80</v>
      </c>
      <c r="W100">
        <v>0.92667388811089935</v>
      </c>
      <c r="X100">
        <v>80</v>
      </c>
      <c r="Y100">
        <v>80</v>
      </c>
      <c r="Z100">
        <v>352</v>
      </c>
      <c r="AA100">
        <v>0</v>
      </c>
      <c r="AB100">
        <v>249</v>
      </c>
      <c r="AC100">
        <v>0</v>
      </c>
      <c r="AD100">
        <v>345</v>
      </c>
      <c r="AE100">
        <v>29</v>
      </c>
      <c r="AF100">
        <v>643</v>
      </c>
      <c r="AG100">
        <v>51</v>
      </c>
    </row>
    <row r="101" spans="1:33" x14ac:dyDescent="0.3">
      <c r="A101">
        <v>21718</v>
      </c>
      <c r="B101" t="s">
        <v>1363</v>
      </c>
      <c r="C101" t="s">
        <v>1027</v>
      </c>
      <c r="D101">
        <v>153</v>
      </c>
      <c r="E101">
        <v>0</v>
      </c>
      <c r="F101">
        <v>0</v>
      </c>
      <c r="G101">
        <v>0</v>
      </c>
      <c r="H101">
        <v>11</v>
      </c>
      <c r="I101">
        <v>0</v>
      </c>
      <c r="J101">
        <v>10</v>
      </c>
      <c r="K101">
        <v>0</v>
      </c>
      <c r="L101">
        <v>33</v>
      </c>
      <c r="M101">
        <v>0</v>
      </c>
      <c r="N101">
        <v>99</v>
      </c>
      <c r="O101">
        <v>0</v>
      </c>
      <c r="R101">
        <v>21841</v>
      </c>
      <c r="S101" t="s">
        <v>1220</v>
      </c>
      <c r="T101" t="s">
        <v>1062</v>
      </c>
      <c r="U101">
        <v>1197</v>
      </c>
      <c r="V101">
        <v>202</v>
      </c>
      <c r="W101">
        <v>0.36699955964788095</v>
      </c>
      <c r="X101">
        <v>202</v>
      </c>
      <c r="Y101">
        <v>202</v>
      </c>
      <c r="Z101">
        <v>217</v>
      </c>
      <c r="AA101">
        <v>0</v>
      </c>
      <c r="AB101">
        <v>167</v>
      </c>
      <c r="AC101">
        <v>114</v>
      </c>
      <c r="AD101">
        <v>400</v>
      </c>
      <c r="AE101">
        <v>52</v>
      </c>
      <c r="AF101">
        <v>413</v>
      </c>
      <c r="AG101">
        <v>36</v>
      </c>
    </row>
    <row r="102" spans="1:33" x14ac:dyDescent="0.3">
      <c r="A102">
        <v>21723</v>
      </c>
      <c r="B102" t="s">
        <v>1299</v>
      </c>
      <c r="C102" t="s">
        <v>1038</v>
      </c>
      <c r="D102">
        <v>640</v>
      </c>
      <c r="E102">
        <v>25</v>
      </c>
      <c r="F102">
        <v>25</v>
      </c>
      <c r="G102">
        <v>25</v>
      </c>
      <c r="H102">
        <v>49</v>
      </c>
      <c r="I102">
        <v>0</v>
      </c>
      <c r="J102">
        <v>22</v>
      </c>
      <c r="K102">
        <v>0</v>
      </c>
      <c r="L102">
        <v>112</v>
      </c>
      <c r="M102">
        <v>0</v>
      </c>
      <c r="N102">
        <v>457</v>
      </c>
      <c r="O102">
        <v>25</v>
      </c>
      <c r="R102">
        <v>21849</v>
      </c>
      <c r="S102" t="s">
        <v>1177</v>
      </c>
      <c r="T102" t="s">
        <v>1021</v>
      </c>
      <c r="U102">
        <v>3341</v>
      </c>
      <c r="V102">
        <v>187</v>
      </c>
      <c r="W102">
        <v>0.39643802699931524</v>
      </c>
      <c r="X102">
        <v>187</v>
      </c>
      <c r="Y102">
        <v>187</v>
      </c>
      <c r="Z102">
        <v>559</v>
      </c>
      <c r="AA102">
        <v>30</v>
      </c>
      <c r="AB102">
        <v>515</v>
      </c>
      <c r="AC102">
        <v>85</v>
      </c>
      <c r="AD102">
        <v>1378</v>
      </c>
      <c r="AE102">
        <v>51</v>
      </c>
      <c r="AF102">
        <v>889</v>
      </c>
      <c r="AG102">
        <v>21</v>
      </c>
    </row>
    <row r="103" spans="1:33" x14ac:dyDescent="0.3">
      <c r="A103">
        <v>21733</v>
      </c>
      <c r="B103" t="s">
        <v>1347</v>
      </c>
      <c r="C103" t="s">
        <v>999</v>
      </c>
      <c r="D103">
        <v>1020</v>
      </c>
      <c r="E103">
        <v>18</v>
      </c>
      <c r="F103">
        <v>18</v>
      </c>
      <c r="G103">
        <v>18</v>
      </c>
      <c r="H103">
        <v>0</v>
      </c>
      <c r="I103">
        <v>0</v>
      </c>
      <c r="J103">
        <v>0</v>
      </c>
      <c r="K103">
        <v>0</v>
      </c>
      <c r="L103">
        <v>101</v>
      </c>
      <c r="M103">
        <v>0</v>
      </c>
      <c r="N103">
        <v>919</v>
      </c>
      <c r="O103">
        <v>18</v>
      </c>
      <c r="R103">
        <v>21850</v>
      </c>
      <c r="S103" t="s">
        <v>1183</v>
      </c>
      <c r="T103" t="s">
        <v>1021</v>
      </c>
      <c r="U103">
        <v>2576</v>
      </c>
      <c r="V103">
        <v>161</v>
      </c>
      <c r="W103">
        <v>0.46045907483771398</v>
      </c>
      <c r="X103">
        <v>161</v>
      </c>
      <c r="Y103">
        <v>161</v>
      </c>
      <c r="Z103">
        <v>483</v>
      </c>
      <c r="AA103">
        <v>36</v>
      </c>
      <c r="AB103">
        <v>157</v>
      </c>
      <c r="AC103">
        <v>15</v>
      </c>
      <c r="AD103">
        <v>1106</v>
      </c>
      <c r="AE103">
        <v>65</v>
      </c>
      <c r="AF103">
        <v>830</v>
      </c>
      <c r="AG103">
        <v>45</v>
      </c>
    </row>
    <row r="104" spans="1:33" x14ac:dyDescent="0.3">
      <c r="A104">
        <v>21737</v>
      </c>
      <c r="B104" t="s">
        <v>1317</v>
      </c>
      <c r="C104" t="s">
        <v>1038</v>
      </c>
      <c r="D104">
        <v>2297</v>
      </c>
      <c r="E104">
        <v>42</v>
      </c>
      <c r="F104">
        <v>42</v>
      </c>
      <c r="G104">
        <v>42</v>
      </c>
      <c r="H104">
        <v>19</v>
      </c>
      <c r="I104">
        <v>1</v>
      </c>
      <c r="J104">
        <v>0</v>
      </c>
      <c r="K104">
        <v>0</v>
      </c>
      <c r="L104">
        <v>87</v>
      </c>
      <c r="M104">
        <v>31</v>
      </c>
      <c r="N104">
        <v>2191</v>
      </c>
      <c r="O104">
        <v>10</v>
      </c>
      <c r="R104">
        <v>21861</v>
      </c>
      <c r="S104" t="s">
        <v>1312</v>
      </c>
      <c r="T104" t="s">
        <v>1021</v>
      </c>
      <c r="U104">
        <v>838</v>
      </c>
      <c r="V104">
        <v>52</v>
      </c>
      <c r="W104">
        <v>1.4256521355552298</v>
      </c>
      <c r="X104">
        <v>52</v>
      </c>
      <c r="Y104">
        <v>52</v>
      </c>
      <c r="Z104">
        <v>135</v>
      </c>
      <c r="AA104">
        <v>15</v>
      </c>
      <c r="AB104">
        <v>144</v>
      </c>
      <c r="AC104">
        <v>0</v>
      </c>
      <c r="AD104">
        <v>297</v>
      </c>
      <c r="AE104">
        <v>35</v>
      </c>
      <c r="AF104">
        <v>262</v>
      </c>
      <c r="AG104">
        <v>2</v>
      </c>
    </row>
    <row r="105" spans="1:33" x14ac:dyDescent="0.3">
      <c r="A105">
        <v>21738</v>
      </c>
      <c r="B105" t="s">
        <v>1311</v>
      </c>
      <c r="C105" t="s">
        <v>1038</v>
      </c>
      <c r="D105">
        <v>3585</v>
      </c>
      <c r="E105">
        <v>19</v>
      </c>
      <c r="F105">
        <v>19</v>
      </c>
      <c r="G105">
        <v>19</v>
      </c>
      <c r="H105">
        <v>29</v>
      </c>
      <c r="I105">
        <v>0</v>
      </c>
      <c r="J105">
        <v>123</v>
      </c>
      <c r="K105">
        <v>0</v>
      </c>
      <c r="L105">
        <v>372</v>
      </c>
      <c r="M105">
        <v>0</v>
      </c>
      <c r="N105">
        <v>3061</v>
      </c>
      <c r="O105">
        <v>19</v>
      </c>
      <c r="R105">
        <v>21862</v>
      </c>
      <c r="S105" t="s">
        <v>1273</v>
      </c>
      <c r="T105" t="s">
        <v>1062</v>
      </c>
      <c r="U105">
        <v>150</v>
      </c>
      <c r="V105">
        <v>58</v>
      </c>
      <c r="W105">
        <v>1.2781708801529648</v>
      </c>
      <c r="X105">
        <v>58</v>
      </c>
      <c r="Y105">
        <v>58</v>
      </c>
      <c r="Z105">
        <v>58</v>
      </c>
      <c r="AA105">
        <v>58</v>
      </c>
      <c r="AB105">
        <v>46</v>
      </c>
      <c r="AC105">
        <v>0</v>
      </c>
      <c r="AD105">
        <v>46</v>
      </c>
      <c r="AE105">
        <v>0</v>
      </c>
      <c r="AF105">
        <v>0</v>
      </c>
      <c r="AG105">
        <v>0</v>
      </c>
    </row>
    <row r="106" spans="1:33" x14ac:dyDescent="0.3">
      <c r="A106">
        <v>21746</v>
      </c>
      <c r="B106" t="s">
        <v>998</v>
      </c>
      <c r="C106" t="s">
        <v>999</v>
      </c>
      <c r="D106">
        <v>0</v>
      </c>
      <c r="E106">
        <v>0</v>
      </c>
      <c r="F106">
        <v>0</v>
      </c>
      <c r="G106">
        <v>0</v>
      </c>
      <c r="H106">
        <v>0</v>
      </c>
      <c r="I106">
        <v>0</v>
      </c>
      <c r="J106">
        <v>0</v>
      </c>
      <c r="K106">
        <v>0</v>
      </c>
      <c r="L106">
        <v>0</v>
      </c>
      <c r="M106">
        <v>0</v>
      </c>
      <c r="N106">
        <v>0</v>
      </c>
      <c r="O106">
        <v>0</v>
      </c>
      <c r="R106">
        <v>21864</v>
      </c>
      <c r="S106" t="s">
        <v>1310</v>
      </c>
      <c r="T106" t="s">
        <v>1062</v>
      </c>
      <c r="U106">
        <v>903</v>
      </c>
      <c r="V106">
        <v>50</v>
      </c>
      <c r="W106">
        <v>1.482678220977439</v>
      </c>
      <c r="X106">
        <v>50</v>
      </c>
      <c r="Y106">
        <v>50</v>
      </c>
      <c r="Z106">
        <v>306</v>
      </c>
      <c r="AA106">
        <v>50</v>
      </c>
      <c r="AB106">
        <v>159</v>
      </c>
      <c r="AC106">
        <v>0</v>
      </c>
      <c r="AD106">
        <v>274</v>
      </c>
      <c r="AE106">
        <v>0</v>
      </c>
      <c r="AF106">
        <v>164</v>
      </c>
      <c r="AG106">
        <v>0</v>
      </c>
    </row>
    <row r="107" spans="1:33" x14ac:dyDescent="0.3">
      <c r="A107">
        <v>21762</v>
      </c>
      <c r="B107" t="s">
        <v>1398</v>
      </c>
      <c r="C107" t="s">
        <v>1027</v>
      </c>
      <c r="D107">
        <v>263</v>
      </c>
      <c r="E107">
        <v>0</v>
      </c>
      <c r="F107">
        <v>0</v>
      </c>
      <c r="G107">
        <v>0</v>
      </c>
      <c r="H107">
        <v>9</v>
      </c>
      <c r="I107">
        <v>0</v>
      </c>
      <c r="J107">
        <v>10</v>
      </c>
      <c r="K107">
        <v>0</v>
      </c>
      <c r="L107">
        <v>52</v>
      </c>
      <c r="M107">
        <v>0</v>
      </c>
      <c r="N107">
        <v>192</v>
      </c>
      <c r="O107">
        <v>0</v>
      </c>
      <c r="R107">
        <v>21869</v>
      </c>
      <c r="S107" t="s">
        <v>1257</v>
      </c>
      <c r="T107" t="s">
        <v>1097</v>
      </c>
      <c r="U107">
        <v>1115</v>
      </c>
      <c r="V107">
        <v>123</v>
      </c>
      <c r="W107">
        <v>0.60271472397456871</v>
      </c>
      <c r="X107">
        <v>123</v>
      </c>
      <c r="Y107">
        <v>123</v>
      </c>
      <c r="Z107">
        <v>119</v>
      </c>
      <c r="AA107">
        <v>29</v>
      </c>
      <c r="AB107">
        <v>202</v>
      </c>
      <c r="AC107">
        <v>43</v>
      </c>
      <c r="AD107">
        <v>472</v>
      </c>
      <c r="AE107">
        <v>26</v>
      </c>
      <c r="AF107">
        <v>322</v>
      </c>
      <c r="AG107">
        <v>25</v>
      </c>
    </row>
    <row r="108" spans="1:33" x14ac:dyDescent="0.3">
      <c r="A108">
        <v>21766</v>
      </c>
      <c r="B108" t="s">
        <v>1328</v>
      </c>
      <c r="C108" t="s">
        <v>1032</v>
      </c>
      <c r="D108">
        <v>506</v>
      </c>
      <c r="E108">
        <v>27</v>
      </c>
      <c r="F108">
        <v>27</v>
      </c>
      <c r="G108">
        <v>27</v>
      </c>
      <c r="H108">
        <v>14</v>
      </c>
      <c r="I108">
        <v>0</v>
      </c>
      <c r="J108">
        <v>85</v>
      </c>
      <c r="K108">
        <v>9</v>
      </c>
      <c r="L108">
        <v>271</v>
      </c>
      <c r="M108">
        <v>11</v>
      </c>
      <c r="N108">
        <v>136</v>
      </c>
      <c r="O108">
        <v>7</v>
      </c>
      <c r="R108">
        <v>21871</v>
      </c>
      <c r="S108" t="s">
        <v>1191</v>
      </c>
      <c r="T108" t="s">
        <v>1108</v>
      </c>
      <c r="U108">
        <v>1808</v>
      </c>
      <c r="V108">
        <v>240</v>
      </c>
      <c r="W108">
        <v>0.30889129603696647</v>
      </c>
      <c r="X108">
        <v>240</v>
      </c>
      <c r="Y108">
        <v>240</v>
      </c>
      <c r="Z108">
        <v>502</v>
      </c>
      <c r="AA108">
        <v>14</v>
      </c>
      <c r="AB108">
        <v>84</v>
      </c>
      <c r="AC108">
        <v>26</v>
      </c>
      <c r="AD108">
        <v>529</v>
      </c>
      <c r="AE108">
        <v>192</v>
      </c>
      <c r="AF108">
        <v>693</v>
      </c>
      <c r="AG108">
        <v>8</v>
      </c>
    </row>
    <row r="109" spans="1:33" x14ac:dyDescent="0.3">
      <c r="A109">
        <v>21779</v>
      </c>
      <c r="B109" t="s">
        <v>1353</v>
      </c>
      <c r="C109" t="s">
        <v>999</v>
      </c>
      <c r="D109">
        <v>1157</v>
      </c>
      <c r="E109">
        <v>0</v>
      </c>
      <c r="F109">
        <v>0</v>
      </c>
      <c r="G109">
        <v>0</v>
      </c>
      <c r="H109">
        <v>52</v>
      </c>
      <c r="I109">
        <v>0</v>
      </c>
      <c r="J109">
        <v>0</v>
      </c>
      <c r="K109">
        <v>0</v>
      </c>
      <c r="L109">
        <v>587</v>
      </c>
      <c r="M109">
        <v>0</v>
      </c>
      <c r="N109">
        <v>518</v>
      </c>
      <c r="O109">
        <v>0</v>
      </c>
      <c r="R109">
        <v>21872</v>
      </c>
      <c r="S109" t="s">
        <v>1261</v>
      </c>
      <c r="T109" t="s">
        <v>1062</v>
      </c>
      <c r="U109">
        <v>497</v>
      </c>
      <c r="V109">
        <v>92</v>
      </c>
      <c r="W109">
        <v>0.80580338096599946</v>
      </c>
      <c r="X109">
        <v>92</v>
      </c>
      <c r="Y109">
        <v>92</v>
      </c>
      <c r="Z109">
        <v>78</v>
      </c>
      <c r="AA109">
        <v>0</v>
      </c>
      <c r="AB109">
        <v>102</v>
      </c>
      <c r="AC109">
        <v>62</v>
      </c>
      <c r="AD109">
        <v>200</v>
      </c>
      <c r="AE109">
        <v>0</v>
      </c>
      <c r="AF109">
        <v>117</v>
      </c>
      <c r="AG109">
        <v>30</v>
      </c>
    </row>
    <row r="110" spans="1:33" x14ac:dyDescent="0.3">
      <c r="A110">
        <v>21781</v>
      </c>
      <c r="B110" t="s">
        <v>1399</v>
      </c>
      <c r="C110" t="s">
        <v>999</v>
      </c>
      <c r="D110">
        <v>71</v>
      </c>
      <c r="E110">
        <v>0</v>
      </c>
      <c r="F110">
        <v>0</v>
      </c>
      <c r="G110">
        <v>0</v>
      </c>
      <c r="H110">
        <v>0</v>
      </c>
      <c r="I110">
        <v>0</v>
      </c>
      <c r="J110">
        <v>0</v>
      </c>
      <c r="K110">
        <v>0</v>
      </c>
      <c r="L110">
        <v>71</v>
      </c>
      <c r="M110">
        <v>0</v>
      </c>
      <c r="N110">
        <v>0</v>
      </c>
      <c r="O110">
        <v>0</v>
      </c>
      <c r="R110">
        <v>21874</v>
      </c>
      <c r="S110" t="s">
        <v>1199</v>
      </c>
      <c r="T110" t="s">
        <v>1021</v>
      </c>
      <c r="U110">
        <v>2049</v>
      </c>
      <c r="V110">
        <v>240</v>
      </c>
      <c r="W110">
        <v>0.30889129603696647</v>
      </c>
      <c r="X110">
        <v>240</v>
      </c>
      <c r="Y110">
        <v>240</v>
      </c>
      <c r="Z110">
        <v>429</v>
      </c>
      <c r="AA110">
        <v>72</v>
      </c>
      <c r="AB110">
        <v>309</v>
      </c>
      <c r="AC110">
        <v>30</v>
      </c>
      <c r="AD110">
        <v>682</v>
      </c>
      <c r="AE110">
        <v>48</v>
      </c>
      <c r="AF110">
        <v>629</v>
      </c>
      <c r="AG110">
        <v>90</v>
      </c>
    </row>
    <row r="111" spans="1:33" x14ac:dyDescent="0.3">
      <c r="A111">
        <v>21790</v>
      </c>
      <c r="B111" t="s">
        <v>1400</v>
      </c>
      <c r="C111" t="s">
        <v>1027</v>
      </c>
      <c r="D111">
        <v>66</v>
      </c>
      <c r="E111">
        <v>0</v>
      </c>
      <c r="F111">
        <v>0</v>
      </c>
      <c r="G111">
        <v>0</v>
      </c>
      <c r="H111">
        <v>0</v>
      </c>
      <c r="I111">
        <v>0</v>
      </c>
      <c r="J111">
        <v>9</v>
      </c>
      <c r="K111">
        <v>0</v>
      </c>
      <c r="L111">
        <v>40</v>
      </c>
      <c r="M111">
        <v>0</v>
      </c>
      <c r="N111">
        <v>17</v>
      </c>
      <c r="O111">
        <v>0</v>
      </c>
      <c r="R111">
        <v>21903</v>
      </c>
      <c r="S111" t="s">
        <v>1143</v>
      </c>
      <c r="T111" t="s">
        <v>1017</v>
      </c>
      <c r="U111">
        <v>6310</v>
      </c>
      <c r="V111">
        <v>216</v>
      </c>
      <c r="W111">
        <v>0.34321255115218496</v>
      </c>
      <c r="X111">
        <v>216</v>
      </c>
      <c r="Y111">
        <v>216</v>
      </c>
      <c r="Z111">
        <v>959</v>
      </c>
      <c r="AA111">
        <v>85</v>
      </c>
      <c r="AB111">
        <v>773</v>
      </c>
      <c r="AC111">
        <v>16</v>
      </c>
      <c r="AD111">
        <v>1685</v>
      </c>
      <c r="AE111">
        <v>60</v>
      </c>
      <c r="AF111">
        <v>2893</v>
      </c>
      <c r="AG111">
        <v>55</v>
      </c>
    </row>
    <row r="112" spans="1:33" x14ac:dyDescent="0.3">
      <c r="A112">
        <v>21794</v>
      </c>
      <c r="B112" t="s">
        <v>1314</v>
      </c>
      <c r="C112" t="s">
        <v>1038</v>
      </c>
      <c r="D112">
        <v>2472</v>
      </c>
      <c r="E112">
        <v>30</v>
      </c>
      <c r="F112">
        <v>30</v>
      </c>
      <c r="G112">
        <v>30</v>
      </c>
      <c r="H112">
        <v>28</v>
      </c>
      <c r="I112">
        <v>12</v>
      </c>
      <c r="J112">
        <v>0</v>
      </c>
      <c r="K112">
        <v>0</v>
      </c>
      <c r="L112">
        <v>169</v>
      </c>
      <c r="M112">
        <v>7</v>
      </c>
      <c r="N112">
        <v>2275</v>
      </c>
      <c r="O112">
        <v>11</v>
      </c>
      <c r="R112">
        <v>21912</v>
      </c>
      <c r="S112" t="s">
        <v>1239</v>
      </c>
      <c r="T112" t="s">
        <v>1017</v>
      </c>
      <c r="U112">
        <v>1021</v>
      </c>
      <c r="V112">
        <v>120</v>
      </c>
      <c r="W112">
        <v>0.61778259207393293</v>
      </c>
      <c r="X112">
        <v>120</v>
      </c>
      <c r="Y112">
        <v>120</v>
      </c>
      <c r="Z112">
        <v>14</v>
      </c>
      <c r="AA112">
        <v>0</v>
      </c>
      <c r="AB112">
        <v>193</v>
      </c>
      <c r="AC112">
        <v>0</v>
      </c>
      <c r="AD112">
        <v>381</v>
      </c>
      <c r="AE112">
        <v>100</v>
      </c>
      <c r="AF112">
        <v>433</v>
      </c>
      <c r="AG112">
        <v>20</v>
      </c>
    </row>
    <row r="113" spans="1:33" x14ac:dyDescent="0.3">
      <c r="A113">
        <v>21802</v>
      </c>
      <c r="B113" t="s">
        <v>1020</v>
      </c>
      <c r="C113" t="s">
        <v>1021</v>
      </c>
      <c r="D113">
        <v>101</v>
      </c>
      <c r="E113">
        <v>11</v>
      </c>
      <c r="F113">
        <v>11</v>
      </c>
      <c r="G113">
        <v>11</v>
      </c>
      <c r="H113">
        <v>70</v>
      </c>
      <c r="I113">
        <v>11</v>
      </c>
      <c r="J113">
        <v>20</v>
      </c>
      <c r="K113">
        <v>0</v>
      </c>
      <c r="L113">
        <v>11</v>
      </c>
      <c r="M113">
        <v>0</v>
      </c>
      <c r="N113">
        <v>0</v>
      </c>
      <c r="O113">
        <v>0</v>
      </c>
      <c r="R113">
        <v>21913</v>
      </c>
      <c r="S113" t="s">
        <v>1248</v>
      </c>
      <c r="T113" t="s">
        <v>1017</v>
      </c>
      <c r="U113">
        <v>887</v>
      </c>
      <c r="V113">
        <v>70</v>
      </c>
      <c r="W113">
        <v>1.0590558721267422</v>
      </c>
      <c r="X113">
        <v>70</v>
      </c>
      <c r="Y113">
        <v>70</v>
      </c>
      <c r="Z113">
        <v>216</v>
      </c>
      <c r="AA113">
        <v>26</v>
      </c>
      <c r="AB113">
        <v>113</v>
      </c>
      <c r="AC113">
        <v>21</v>
      </c>
      <c r="AD113">
        <v>355</v>
      </c>
      <c r="AE113">
        <v>23</v>
      </c>
      <c r="AF113">
        <v>203</v>
      </c>
      <c r="AG113">
        <v>0</v>
      </c>
    </row>
    <row r="114" spans="1:33" x14ac:dyDescent="0.3">
      <c r="A114">
        <v>21810</v>
      </c>
      <c r="B114" t="s">
        <v>1297</v>
      </c>
      <c r="C114" t="s">
        <v>1021</v>
      </c>
      <c r="D114">
        <v>833</v>
      </c>
      <c r="E114">
        <v>38</v>
      </c>
      <c r="F114">
        <v>38</v>
      </c>
      <c r="G114">
        <v>38</v>
      </c>
      <c r="H114">
        <v>0</v>
      </c>
      <c r="I114">
        <v>0</v>
      </c>
      <c r="J114">
        <v>0</v>
      </c>
      <c r="K114">
        <v>0</v>
      </c>
      <c r="L114">
        <v>200</v>
      </c>
      <c r="M114">
        <v>0</v>
      </c>
      <c r="N114">
        <v>633</v>
      </c>
      <c r="O114">
        <v>38</v>
      </c>
      <c r="R114">
        <v>21915</v>
      </c>
      <c r="S114" t="s">
        <v>1175</v>
      </c>
      <c r="T114" t="s">
        <v>1017</v>
      </c>
      <c r="U114">
        <v>2664</v>
      </c>
      <c r="V114">
        <v>186</v>
      </c>
      <c r="W114">
        <v>0.39856941424124703</v>
      </c>
      <c r="X114">
        <v>186</v>
      </c>
      <c r="Y114">
        <v>186</v>
      </c>
      <c r="Z114">
        <v>251</v>
      </c>
      <c r="AA114">
        <v>24</v>
      </c>
      <c r="AB114">
        <v>87</v>
      </c>
      <c r="AC114">
        <v>57</v>
      </c>
      <c r="AD114">
        <v>1077</v>
      </c>
      <c r="AE114">
        <v>103</v>
      </c>
      <c r="AF114">
        <v>1249</v>
      </c>
      <c r="AG114">
        <v>2</v>
      </c>
    </row>
    <row r="115" spans="1:33" x14ac:dyDescent="0.3">
      <c r="A115">
        <v>21814</v>
      </c>
      <c r="B115" t="s">
        <v>1340</v>
      </c>
      <c r="C115" t="s">
        <v>1021</v>
      </c>
      <c r="D115">
        <v>564</v>
      </c>
      <c r="E115">
        <v>24</v>
      </c>
      <c r="F115">
        <v>24</v>
      </c>
      <c r="G115">
        <v>24</v>
      </c>
      <c r="H115">
        <v>79</v>
      </c>
      <c r="I115">
        <v>0</v>
      </c>
      <c r="J115">
        <v>211</v>
      </c>
      <c r="K115">
        <v>0</v>
      </c>
      <c r="L115">
        <v>47</v>
      </c>
      <c r="M115">
        <v>24</v>
      </c>
      <c r="N115">
        <v>227</v>
      </c>
      <c r="O115">
        <v>0</v>
      </c>
      <c r="R115">
        <v>21917</v>
      </c>
      <c r="S115" t="s">
        <v>1222</v>
      </c>
      <c r="T115" t="s">
        <v>1017</v>
      </c>
      <c r="U115">
        <v>2477</v>
      </c>
      <c r="V115">
        <v>110</v>
      </c>
      <c r="W115">
        <v>0.67394464589883596</v>
      </c>
      <c r="X115">
        <v>110</v>
      </c>
      <c r="Y115">
        <v>110</v>
      </c>
      <c r="Z115">
        <v>147</v>
      </c>
      <c r="AA115">
        <v>12</v>
      </c>
      <c r="AB115">
        <v>86</v>
      </c>
      <c r="AC115">
        <v>44</v>
      </c>
      <c r="AD115">
        <v>746</v>
      </c>
      <c r="AE115">
        <v>14</v>
      </c>
      <c r="AF115">
        <v>1498</v>
      </c>
      <c r="AG115">
        <v>40</v>
      </c>
    </row>
    <row r="116" spans="1:33" x14ac:dyDescent="0.3">
      <c r="A116">
        <v>21824</v>
      </c>
      <c r="B116" t="s">
        <v>1332</v>
      </c>
      <c r="C116" t="s">
        <v>1108</v>
      </c>
      <c r="D116">
        <v>88</v>
      </c>
      <c r="E116">
        <v>0</v>
      </c>
      <c r="F116">
        <v>0</v>
      </c>
      <c r="G116">
        <v>0</v>
      </c>
      <c r="H116">
        <v>13</v>
      </c>
      <c r="I116">
        <v>0</v>
      </c>
      <c r="J116">
        <v>25</v>
      </c>
      <c r="K116">
        <v>0</v>
      </c>
      <c r="L116">
        <v>17</v>
      </c>
      <c r="M116">
        <v>0</v>
      </c>
      <c r="N116">
        <v>33</v>
      </c>
      <c r="O116">
        <v>0</v>
      </c>
      <c r="R116">
        <v>21918</v>
      </c>
      <c r="S116" t="s">
        <v>1168</v>
      </c>
      <c r="T116" t="s">
        <v>1017</v>
      </c>
      <c r="U116">
        <v>3706</v>
      </c>
      <c r="V116">
        <v>224</v>
      </c>
      <c r="W116">
        <v>0.33095496003960695</v>
      </c>
      <c r="X116">
        <v>224</v>
      </c>
      <c r="Y116">
        <v>224</v>
      </c>
      <c r="Z116">
        <v>334</v>
      </c>
      <c r="AA116">
        <v>105</v>
      </c>
      <c r="AB116">
        <v>339</v>
      </c>
      <c r="AC116">
        <v>10</v>
      </c>
      <c r="AD116">
        <v>1056</v>
      </c>
      <c r="AE116">
        <v>76</v>
      </c>
      <c r="AF116">
        <v>1977</v>
      </c>
      <c r="AG116">
        <v>33</v>
      </c>
    </row>
    <row r="117" spans="1:33" x14ac:dyDescent="0.3">
      <c r="A117">
        <v>21829</v>
      </c>
      <c r="B117" t="s">
        <v>1324</v>
      </c>
      <c r="C117" t="s">
        <v>1062</v>
      </c>
      <c r="D117">
        <v>438</v>
      </c>
      <c r="E117">
        <v>30</v>
      </c>
      <c r="F117">
        <v>30</v>
      </c>
      <c r="G117">
        <v>30</v>
      </c>
      <c r="H117">
        <v>18</v>
      </c>
      <c r="I117">
        <v>0</v>
      </c>
      <c r="J117">
        <v>94</v>
      </c>
      <c r="K117">
        <v>0</v>
      </c>
      <c r="L117">
        <v>119</v>
      </c>
      <c r="M117">
        <v>0</v>
      </c>
      <c r="N117">
        <v>207</v>
      </c>
      <c r="O117">
        <v>30</v>
      </c>
      <c r="R117">
        <v>21919</v>
      </c>
      <c r="S117" t="s">
        <v>1235</v>
      </c>
      <c r="T117" t="s">
        <v>1017</v>
      </c>
      <c r="U117">
        <v>3046</v>
      </c>
      <c r="V117">
        <v>58</v>
      </c>
      <c r="W117">
        <v>1.2781708801529648</v>
      </c>
      <c r="X117">
        <v>58</v>
      </c>
      <c r="Y117">
        <v>58</v>
      </c>
      <c r="Z117">
        <v>193</v>
      </c>
      <c r="AA117">
        <v>3</v>
      </c>
      <c r="AB117">
        <v>195</v>
      </c>
      <c r="AC117">
        <v>0</v>
      </c>
      <c r="AD117">
        <v>913</v>
      </c>
      <c r="AE117">
        <v>55</v>
      </c>
      <c r="AF117">
        <v>1745</v>
      </c>
      <c r="AG117">
        <v>0</v>
      </c>
    </row>
    <row r="118" spans="1:33" x14ac:dyDescent="0.3">
      <c r="A118">
        <v>21840</v>
      </c>
      <c r="B118" t="s">
        <v>1401</v>
      </c>
      <c r="C118" t="s">
        <v>1021</v>
      </c>
      <c r="D118">
        <v>364</v>
      </c>
      <c r="E118">
        <v>0</v>
      </c>
      <c r="F118">
        <v>0</v>
      </c>
      <c r="G118">
        <v>0</v>
      </c>
      <c r="H118">
        <v>96</v>
      </c>
      <c r="I118">
        <v>0</v>
      </c>
      <c r="J118">
        <v>0</v>
      </c>
      <c r="K118">
        <v>0</v>
      </c>
      <c r="L118">
        <v>77</v>
      </c>
      <c r="M118">
        <v>0</v>
      </c>
      <c r="N118">
        <v>191</v>
      </c>
      <c r="O118">
        <v>0</v>
      </c>
      <c r="R118" t="s">
        <v>1416</v>
      </c>
      <c r="V118">
        <f>SUBTOTAL(109,RemovedGT30RSEUninsTbl[Total Uninsured Population])</f>
        <v>15034</v>
      </c>
      <c r="AG118">
        <f>SUBTOTAL(109,RemovedGT30RSEUninsTbl[400% FPL and over - No Health Insurance])</f>
        <v>4045</v>
      </c>
    </row>
    <row r="119" spans="1:33" x14ac:dyDescent="0.3">
      <c r="A119">
        <v>21856</v>
      </c>
      <c r="B119" t="s">
        <v>1268</v>
      </c>
      <c r="C119" t="s">
        <v>1021</v>
      </c>
      <c r="D119">
        <v>612</v>
      </c>
      <c r="E119">
        <v>29</v>
      </c>
      <c r="F119">
        <v>29</v>
      </c>
      <c r="G119">
        <v>29</v>
      </c>
      <c r="H119">
        <v>38</v>
      </c>
      <c r="I119">
        <v>14</v>
      </c>
      <c r="J119">
        <v>86</v>
      </c>
      <c r="K119">
        <v>0</v>
      </c>
      <c r="L119">
        <v>224</v>
      </c>
      <c r="M119">
        <v>15</v>
      </c>
      <c r="N119">
        <v>264</v>
      </c>
      <c r="O119">
        <v>0</v>
      </c>
    </row>
    <row r="120" spans="1:33" x14ac:dyDescent="0.3">
      <c r="A120">
        <v>21865</v>
      </c>
      <c r="B120" t="s">
        <v>1302</v>
      </c>
      <c r="C120" t="s">
        <v>1021</v>
      </c>
      <c r="D120">
        <v>451</v>
      </c>
      <c r="E120">
        <v>44</v>
      </c>
      <c r="F120">
        <v>44</v>
      </c>
      <c r="G120">
        <v>44</v>
      </c>
      <c r="H120">
        <v>0</v>
      </c>
      <c r="I120">
        <v>0</v>
      </c>
      <c r="J120">
        <v>17</v>
      </c>
      <c r="K120">
        <v>17</v>
      </c>
      <c r="L120">
        <v>90</v>
      </c>
      <c r="M120">
        <v>27</v>
      </c>
      <c r="N120">
        <v>344</v>
      </c>
      <c r="O120">
        <v>0</v>
      </c>
    </row>
    <row r="121" spans="1:33" x14ac:dyDescent="0.3">
      <c r="A121">
        <v>21866</v>
      </c>
      <c r="B121" t="s">
        <v>1402</v>
      </c>
      <c r="C121" t="s">
        <v>1108</v>
      </c>
      <c r="D121">
        <v>74</v>
      </c>
      <c r="E121">
        <v>0</v>
      </c>
      <c r="F121">
        <v>0</v>
      </c>
      <c r="G121">
        <v>0</v>
      </c>
      <c r="H121">
        <v>49</v>
      </c>
      <c r="I121">
        <v>0</v>
      </c>
      <c r="J121">
        <v>0</v>
      </c>
      <c r="K121">
        <v>0</v>
      </c>
      <c r="L121">
        <v>0</v>
      </c>
      <c r="M121">
        <v>0</v>
      </c>
      <c r="N121">
        <v>25</v>
      </c>
      <c r="O121">
        <v>0</v>
      </c>
    </row>
    <row r="122" spans="1:33" x14ac:dyDescent="0.3">
      <c r="A122">
        <v>21867</v>
      </c>
      <c r="B122" t="s">
        <v>1403</v>
      </c>
      <c r="C122" t="s">
        <v>1108</v>
      </c>
      <c r="D122">
        <v>6</v>
      </c>
      <c r="E122">
        <v>0</v>
      </c>
      <c r="F122">
        <v>0</v>
      </c>
      <c r="G122">
        <v>0</v>
      </c>
      <c r="H122">
        <v>0</v>
      </c>
      <c r="I122">
        <v>0</v>
      </c>
      <c r="J122">
        <v>0</v>
      </c>
      <c r="K122">
        <v>0</v>
      </c>
      <c r="L122">
        <v>6</v>
      </c>
      <c r="M122">
        <v>0</v>
      </c>
      <c r="N122">
        <v>0</v>
      </c>
      <c r="O122">
        <v>0</v>
      </c>
    </row>
    <row r="123" spans="1:33" x14ac:dyDescent="0.3">
      <c r="A123">
        <v>21890</v>
      </c>
      <c r="B123" t="s">
        <v>1191</v>
      </c>
      <c r="C123" t="s">
        <v>1108</v>
      </c>
      <c r="D123">
        <v>0</v>
      </c>
      <c r="E123">
        <v>0</v>
      </c>
      <c r="F123">
        <v>0</v>
      </c>
      <c r="G123">
        <v>0</v>
      </c>
      <c r="H123">
        <v>0</v>
      </c>
      <c r="I123">
        <v>0</v>
      </c>
      <c r="J123">
        <v>0</v>
      </c>
      <c r="K123">
        <v>0</v>
      </c>
      <c r="L123">
        <v>0</v>
      </c>
      <c r="M123">
        <v>0</v>
      </c>
      <c r="N123">
        <v>0</v>
      </c>
      <c r="O123">
        <v>0</v>
      </c>
    </row>
    <row r="124" spans="1:33" x14ac:dyDescent="0.3">
      <c r="A124">
        <v>21902</v>
      </c>
      <c r="B124" t="s">
        <v>1366</v>
      </c>
      <c r="C124" t="s">
        <v>1017</v>
      </c>
      <c r="D124">
        <v>132</v>
      </c>
      <c r="E124">
        <v>7</v>
      </c>
      <c r="F124">
        <v>7</v>
      </c>
      <c r="G124">
        <v>7</v>
      </c>
      <c r="H124">
        <v>93</v>
      </c>
      <c r="I124">
        <v>7</v>
      </c>
      <c r="J124">
        <v>21</v>
      </c>
      <c r="K124">
        <v>0</v>
      </c>
      <c r="L124">
        <v>18</v>
      </c>
      <c r="M124">
        <v>0</v>
      </c>
      <c r="N124">
        <v>0</v>
      </c>
      <c r="O124">
        <v>0</v>
      </c>
    </row>
    <row r="125" spans="1:33" x14ac:dyDescent="0.3">
      <c r="A125">
        <v>21914</v>
      </c>
      <c r="B125" t="s">
        <v>1333</v>
      </c>
      <c r="C125" t="s">
        <v>1017</v>
      </c>
      <c r="D125">
        <v>739</v>
      </c>
      <c r="E125">
        <v>43</v>
      </c>
      <c r="F125">
        <v>43</v>
      </c>
      <c r="G125">
        <v>43</v>
      </c>
      <c r="H125">
        <v>241</v>
      </c>
      <c r="I125">
        <v>8</v>
      </c>
      <c r="J125">
        <v>32</v>
      </c>
      <c r="K125">
        <v>0</v>
      </c>
      <c r="L125">
        <v>127</v>
      </c>
      <c r="M125">
        <v>13</v>
      </c>
      <c r="N125">
        <v>339</v>
      </c>
      <c r="O125">
        <v>22</v>
      </c>
    </row>
    <row r="126" spans="1:33" x14ac:dyDescent="0.3">
      <c r="A126">
        <v>21916</v>
      </c>
      <c r="B126" t="s">
        <v>1404</v>
      </c>
      <c r="C126" t="s">
        <v>1017</v>
      </c>
      <c r="D126">
        <v>42</v>
      </c>
      <c r="E126">
        <v>0</v>
      </c>
      <c r="F126">
        <v>0</v>
      </c>
      <c r="G126">
        <v>0</v>
      </c>
      <c r="H126">
        <v>40</v>
      </c>
      <c r="I126">
        <v>0</v>
      </c>
      <c r="J126">
        <v>0</v>
      </c>
      <c r="K126">
        <v>0</v>
      </c>
      <c r="L126">
        <v>2</v>
      </c>
      <c r="M126">
        <v>0</v>
      </c>
      <c r="N126">
        <v>0</v>
      </c>
      <c r="O126">
        <v>0</v>
      </c>
    </row>
    <row r="127" spans="1:33" x14ac:dyDescent="0.3">
      <c r="A127">
        <v>21920</v>
      </c>
      <c r="B127" t="s">
        <v>1318</v>
      </c>
      <c r="C127" t="s">
        <v>1017</v>
      </c>
      <c r="D127">
        <v>352</v>
      </c>
      <c r="E127">
        <v>49</v>
      </c>
      <c r="F127">
        <v>49</v>
      </c>
      <c r="G127">
        <v>49</v>
      </c>
      <c r="H127">
        <v>99</v>
      </c>
      <c r="I127">
        <v>0</v>
      </c>
      <c r="J127">
        <v>128</v>
      </c>
      <c r="K127">
        <v>19</v>
      </c>
      <c r="L127">
        <v>68</v>
      </c>
      <c r="M127">
        <v>0</v>
      </c>
      <c r="N127">
        <v>57</v>
      </c>
      <c r="O127">
        <v>30</v>
      </c>
    </row>
    <row r="128" spans="1:33" x14ac:dyDescent="0.3">
      <c r="A128">
        <v>21930</v>
      </c>
      <c r="B128" t="s">
        <v>1341</v>
      </c>
      <c r="C128" t="s">
        <v>1017</v>
      </c>
      <c r="D128">
        <v>205</v>
      </c>
      <c r="E128">
        <v>18</v>
      </c>
      <c r="F128">
        <v>18</v>
      </c>
      <c r="G128">
        <v>18</v>
      </c>
      <c r="H128">
        <v>48</v>
      </c>
      <c r="I128">
        <v>18</v>
      </c>
      <c r="J128">
        <v>0</v>
      </c>
      <c r="K128">
        <v>0</v>
      </c>
      <c r="L128">
        <v>0</v>
      </c>
      <c r="M128">
        <v>0</v>
      </c>
      <c r="N128">
        <v>157</v>
      </c>
      <c r="O128">
        <v>0</v>
      </c>
    </row>
    <row r="129" spans="1:15" x14ac:dyDescent="0.3">
      <c r="A129" t="s">
        <v>1416</v>
      </c>
      <c r="E129">
        <f>SUBTOTAL(109,RemovedLT50UninsTbl[Total Uninsured Population])</f>
        <v>1757</v>
      </c>
      <c r="O129">
        <f>SUBTOTAL(109,RemovedLT50UninsTbl[400% FPL and over - No Health Insurance])</f>
        <v>518</v>
      </c>
    </row>
  </sheetData>
  <pageMargins left="0.7" right="0.7" top="0.75" bottom="0.75" header="0.3" footer="0.3"/>
  <tableParts count="2">
    <tablePart r:id="rId1"/>
    <tablePart r:id="rId2"/>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93"/>
  <sheetViews>
    <sheetView topLeftCell="A169" workbookViewId="0">
      <selection activeCell="O193" sqref="O193"/>
    </sheetView>
  </sheetViews>
  <sheetFormatPr defaultRowHeight="14.4" x14ac:dyDescent="0.3"/>
  <cols>
    <col min="1" max="1" width="10.6640625" bestFit="1" customWidth="1"/>
    <col min="2" max="2" width="22" bestFit="1" customWidth="1"/>
    <col min="3" max="3" width="13.21875" bestFit="1" customWidth="1"/>
    <col min="4" max="4" width="16.44140625" bestFit="1" customWidth="1"/>
    <col min="5" max="5" width="14.33203125" bestFit="1" customWidth="1"/>
    <col min="6" max="6" width="16.44140625" bestFit="1" customWidth="1"/>
    <col min="7" max="7" width="14.33203125" bestFit="1" customWidth="1"/>
    <col min="8" max="8" width="16.44140625" bestFit="1" customWidth="1"/>
    <col min="9" max="9" width="14.33203125" bestFit="1" customWidth="1"/>
    <col min="10" max="10" width="17.33203125" bestFit="1" customWidth="1"/>
    <col min="11" max="11" width="16.77734375" bestFit="1" customWidth="1"/>
    <col min="12" max="12" width="7.44140625" bestFit="1" customWidth="1"/>
    <col min="13" max="13" width="12.109375" style="71" bestFit="1" customWidth="1"/>
    <col min="14" max="14" width="15.5546875" bestFit="1" customWidth="1"/>
    <col min="15" max="15" width="14.88671875" bestFit="1" customWidth="1"/>
    <col min="18" max="18" width="10.6640625" bestFit="1" customWidth="1"/>
    <col min="19" max="19" width="16.21875" bestFit="1" customWidth="1"/>
    <col min="20" max="21" width="13.21875" bestFit="1" customWidth="1"/>
    <col min="22" max="22" width="14.33203125" bestFit="1" customWidth="1"/>
    <col min="23" max="23" width="13.33203125" bestFit="1" customWidth="1"/>
    <col min="24" max="24" width="14.33203125" bestFit="1" customWidth="1"/>
    <col min="25" max="25" width="13.33203125" bestFit="1" customWidth="1"/>
    <col min="26" max="26" width="14.33203125" bestFit="1" customWidth="1"/>
    <col min="27" max="27" width="14.6640625" bestFit="1" customWidth="1"/>
    <col min="28" max="28" width="16.77734375" bestFit="1" customWidth="1"/>
    <col min="29" max="29" width="7.44140625" bestFit="1" customWidth="1"/>
    <col min="30" max="30" width="12.109375" bestFit="1" customWidth="1"/>
    <col min="31" max="31" width="10.77734375" bestFit="1" customWidth="1"/>
    <col min="32" max="32" width="14.88671875" bestFit="1" customWidth="1"/>
  </cols>
  <sheetData>
    <row r="1" spans="1:32" s="85" customFormat="1" ht="51" customHeight="1" x14ac:dyDescent="0.3">
      <c r="A1" s="85" t="s">
        <v>1406</v>
      </c>
      <c r="B1" s="85" t="s">
        <v>986</v>
      </c>
      <c r="C1" s="85" t="s">
        <v>987</v>
      </c>
      <c r="D1" s="85" t="s">
        <v>1495</v>
      </c>
      <c r="E1" s="85" t="s">
        <v>1496</v>
      </c>
      <c r="F1" s="85" t="s">
        <v>1497</v>
      </c>
      <c r="G1" s="85" t="s">
        <v>1498</v>
      </c>
      <c r="H1" s="85" t="s">
        <v>1499</v>
      </c>
      <c r="I1" s="85" t="s">
        <v>1500</v>
      </c>
      <c r="J1" s="85" t="s">
        <v>1501</v>
      </c>
      <c r="K1" s="85" t="s">
        <v>1502</v>
      </c>
      <c r="L1" s="85" t="s">
        <v>1416</v>
      </c>
      <c r="M1" s="86" t="s">
        <v>1516</v>
      </c>
      <c r="N1" s="85" t="s">
        <v>1493</v>
      </c>
      <c r="O1" s="85" t="s">
        <v>1494</v>
      </c>
      <c r="R1" s="85" t="s">
        <v>1406</v>
      </c>
      <c r="S1" s="85" t="s">
        <v>986</v>
      </c>
      <c r="T1" s="85" t="s">
        <v>987</v>
      </c>
      <c r="U1" s="85" t="s">
        <v>1495</v>
      </c>
      <c r="V1" s="85" t="s">
        <v>1496</v>
      </c>
      <c r="W1" s="85" t="s">
        <v>1497</v>
      </c>
      <c r="X1" s="85" t="s">
        <v>1498</v>
      </c>
      <c r="Y1" s="85" t="s">
        <v>1499</v>
      </c>
      <c r="Z1" s="85" t="s">
        <v>1500</v>
      </c>
      <c r="AA1" s="85" t="s">
        <v>1501</v>
      </c>
      <c r="AB1" s="85" t="s">
        <v>1502</v>
      </c>
      <c r="AC1" s="85" t="s">
        <v>1416</v>
      </c>
      <c r="AD1" s="85" t="s">
        <v>1516</v>
      </c>
      <c r="AE1" s="85" t="s">
        <v>1493</v>
      </c>
      <c r="AF1" s="85" t="s">
        <v>1494</v>
      </c>
    </row>
    <row r="2" spans="1:32" x14ac:dyDescent="0.3">
      <c r="A2">
        <v>20606</v>
      </c>
      <c r="B2" t="s">
        <v>1293</v>
      </c>
      <c r="C2" t="s">
        <v>1053</v>
      </c>
      <c r="D2">
        <v>13</v>
      </c>
      <c r="E2">
        <v>56</v>
      </c>
      <c r="F2">
        <v>0</v>
      </c>
      <c r="G2">
        <v>24</v>
      </c>
      <c r="H2">
        <v>0</v>
      </c>
      <c r="I2">
        <v>24</v>
      </c>
      <c r="J2">
        <v>0</v>
      </c>
      <c r="K2">
        <v>24</v>
      </c>
      <c r="L2">
        <v>13</v>
      </c>
      <c r="M2" s="71">
        <v>5.6014470715678524</v>
      </c>
      <c r="N2">
        <v>13</v>
      </c>
      <c r="O2">
        <v>13</v>
      </c>
      <c r="R2">
        <v>20617</v>
      </c>
      <c r="S2" t="s">
        <v>1349</v>
      </c>
      <c r="T2" t="s">
        <v>1070</v>
      </c>
      <c r="U2">
        <v>0</v>
      </c>
      <c r="V2">
        <v>48</v>
      </c>
      <c r="W2">
        <v>0</v>
      </c>
      <c r="X2">
        <v>24</v>
      </c>
      <c r="Y2">
        <v>0</v>
      </c>
      <c r="Z2">
        <v>24</v>
      </c>
      <c r="AA2">
        <v>0</v>
      </c>
      <c r="AB2">
        <v>24</v>
      </c>
      <c r="AC2">
        <v>0</v>
      </c>
      <c r="AD2" t="e">
        <v>#DIV/0!</v>
      </c>
      <c r="AE2">
        <v>0</v>
      </c>
      <c r="AF2">
        <v>0</v>
      </c>
    </row>
    <row r="3" spans="1:32" x14ac:dyDescent="0.3">
      <c r="A3">
        <v>20608</v>
      </c>
      <c r="B3" t="s">
        <v>1250</v>
      </c>
      <c r="C3" t="s">
        <v>989</v>
      </c>
      <c r="D3">
        <v>9</v>
      </c>
      <c r="E3">
        <v>50</v>
      </c>
      <c r="F3">
        <v>0</v>
      </c>
      <c r="G3">
        <v>24</v>
      </c>
      <c r="H3">
        <v>59</v>
      </c>
      <c r="I3">
        <v>59</v>
      </c>
      <c r="J3">
        <v>22</v>
      </c>
      <c r="K3">
        <v>29</v>
      </c>
      <c r="L3">
        <v>90</v>
      </c>
      <c r="M3" s="71">
        <v>0.80909791033757872</v>
      </c>
      <c r="N3">
        <v>90</v>
      </c>
      <c r="O3">
        <v>90</v>
      </c>
      <c r="R3">
        <v>20630</v>
      </c>
      <c r="S3" t="s">
        <v>1372</v>
      </c>
      <c r="T3" t="s">
        <v>1053</v>
      </c>
      <c r="U3">
        <v>0</v>
      </c>
      <c r="V3">
        <v>48</v>
      </c>
      <c r="W3">
        <v>0</v>
      </c>
      <c r="X3">
        <v>24</v>
      </c>
      <c r="Y3">
        <v>0</v>
      </c>
      <c r="Z3">
        <v>24</v>
      </c>
      <c r="AA3">
        <v>0</v>
      </c>
      <c r="AB3">
        <v>24</v>
      </c>
      <c r="AC3">
        <v>0</v>
      </c>
      <c r="AD3" t="e">
        <v>#DIV/0!</v>
      </c>
      <c r="AE3">
        <v>0</v>
      </c>
      <c r="AF3">
        <v>0</v>
      </c>
    </row>
    <row r="4" spans="1:32" x14ac:dyDescent="0.3">
      <c r="A4">
        <v>20609</v>
      </c>
      <c r="B4" t="s">
        <v>1267</v>
      </c>
      <c r="C4" t="s">
        <v>1053</v>
      </c>
      <c r="D4">
        <v>14</v>
      </c>
      <c r="E4">
        <v>58</v>
      </c>
      <c r="F4">
        <v>0</v>
      </c>
      <c r="G4">
        <v>24</v>
      </c>
      <c r="H4">
        <v>0</v>
      </c>
      <c r="I4">
        <v>24</v>
      </c>
      <c r="J4">
        <v>0</v>
      </c>
      <c r="K4">
        <v>24</v>
      </c>
      <c r="L4">
        <v>14</v>
      </c>
      <c r="M4" s="71">
        <v>5.2013437093130062</v>
      </c>
      <c r="N4">
        <v>14</v>
      </c>
      <c r="O4">
        <v>14</v>
      </c>
      <c r="R4">
        <v>20632</v>
      </c>
      <c r="S4" t="s">
        <v>1373</v>
      </c>
      <c r="T4" t="s">
        <v>1070</v>
      </c>
      <c r="U4">
        <v>0</v>
      </c>
      <c r="V4">
        <v>48</v>
      </c>
      <c r="W4">
        <v>0</v>
      </c>
      <c r="X4">
        <v>24</v>
      </c>
      <c r="Y4">
        <v>0</v>
      </c>
      <c r="Z4">
        <v>24</v>
      </c>
      <c r="AA4">
        <v>0</v>
      </c>
      <c r="AB4">
        <v>24</v>
      </c>
      <c r="AC4">
        <v>0</v>
      </c>
      <c r="AD4" t="e">
        <v>#DIV/0!</v>
      </c>
      <c r="AE4">
        <v>0</v>
      </c>
      <c r="AF4">
        <v>0</v>
      </c>
    </row>
    <row r="5" spans="1:32" x14ac:dyDescent="0.3">
      <c r="A5">
        <v>20611</v>
      </c>
      <c r="B5" t="s">
        <v>1338</v>
      </c>
      <c r="C5" t="s">
        <v>1070</v>
      </c>
      <c r="D5">
        <v>43</v>
      </c>
      <c r="E5">
        <v>87</v>
      </c>
      <c r="F5">
        <v>0</v>
      </c>
      <c r="G5">
        <v>24</v>
      </c>
      <c r="H5">
        <v>24</v>
      </c>
      <c r="I5">
        <v>49</v>
      </c>
      <c r="J5">
        <v>32</v>
      </c>
      <c r="K5">
        <v>45</v>
      </c>
      <c r="L5">
        <v>99</v>
      </c>
      <c r="M5" s="71">
        <v>0.73554355485234424</v>
      </c>
      <c r="N5">
        <v>99</v>
      </c>
      <c r="O5">
        <v>99</v>
      </c>
      <c r="R5">
        <v>20660</v>
      </c>
      <c r="S5" t="s">
        <v>1374</v>
      </c>
      <c r="T5" t="s">
        <v>1053</v>
      </c>
      <c r="U5">
        <v>0</v>
      </c>
      <c r="V5">
        <v>48</v>
      </c>
      <c r="W5">
        <v>0</v>
      </c>
      <c r="X5">
        <v>24</v>
      </c>
      <c r="Y5">
        <v>0</v>
      </c>
      <c r="Z5">
        <v>24</v>
      </c>
      <c r="AA5">
        <v>0</v>
      </c>
      <c r="AB5">
        <v>24</v>
      </c>
      <c r="AC5">
        <v>0</v>
      </c>
      <c r="AD5" t="e">
        <v>#DIV/0!</v>
      </c>
      <c r="AE5">
        <v>0</v>
      </c>
      <c r="AF5">
        <v>0</v>
      </c>
    </row>
    <row r="6" spans="1:32" x14ac:dyDescent="0.3">
      <c r="A6">
        <v>20612</v>
      </c>
      <c r="B6" t="s">
        <v>1284</v>
      </c>
      <c r="C6" t="s">
        <v>1070</v>
      </c>
      <c r="D6">
        <v>0</v>
      </c>
      <c r="E6">
        <v>48</v>
      </c>
      <c r="F6">
        <v>0</v>
      </c>
      <c r="G6">
        <v>24</v>
      </c>
      <c r="H6">
        <v>0</v>
      </c>
      <c r="I6">
        <v>24</v>
      </c>
      <c r="J6">
        <v>52</v>
      </c>
      <c r="K6">
        <v>91</v>
      </c>
      <c r="L6">
        <v>52</v>
      </c>
      <c r="M6" s="71">
        <v>1.4003617678919631</v>
      </c>
      <c r="N6">
        <v>52</v>
      </c>
      <c r="O6">
        <v>52</v>
      </c>
      <c r="R6">
        <v>20670</v>
      </c>
      <c r="S6" t="s">
        <v>1376</v>
      </c>
      <c r="T6" t="s">
        <v>1053</v>
      </c>
      <c r="U6">
        <v>0</v>
      </c>
      <c r="V6">
        <v>48</v>
      </c>
      <c r="W6">
        <v>0</v>
      </c>
      <c r="X6">
        <v>24</v>
      </c>
      <c r="Y6">
        <v>0</v>
      </c>
      <c r="Z6">
        <v>24</v>
      </c>
      <c r="AA6">
        <v>0</v>
      </c>
      <c r="AB6">
        <v>24</v>
      </c>
      <c r="AC6">
        <v>0</v>
      </c>
      <c r="AD6" t="e">
        <v>#DIV/0!</v>
      </c>
      <c r="AE6">
        <v>0</v>
      </c>
      <c r="AF6">
        <v>0</v>
      </c>
    </row>
    <row r="7" spans="1:32" x14ac:dyDescent="0.3">
      <c r="A7">
        <v>20615</v>
      </c>
      <c r="B7" t="s">
        <v>1301</v>
      </c>
      <c r="C7" t="s">
        <v>1055</v>
      </c>
      <c r="D7">
        <v>21</v>
      </c>
      <c r="E7">
        <v>69</v>
      </c>
      <c r="F7">
        <v>31</v>
      </c>
      <c r="G7">
        <v>59</v>
      </c>
      <c r="H7">
        <v>0</v>
      </c>
      <c r="I7">
        <v>24</v>
      </c>
      <c r="J7">
        <v>0</v>
      </c>
      <c r="K7">
        <v>24</v>
      </c>
      <c r="L7">
        <v>52</v>
      </c>
      <c r="M7" s="71">
        <v>1.4003617678919631</v>
      </c>
      <c r="N7">
        <v>52</v>
      </c>
      <c r="O7">
        <v>52</v>
      </c>
      <c r="R7">
        <v>20686</v>
      </c>
      <c r="S7" t="s">
        <v>1377</v>
      </c>
      <c r="T7" t="s">
        <v>1053</v>
      </c>
      <c r="U7">
        <v>0</v>
      </c>
      <c r="V7">
        <v>48</v>
      </c>
      <c r="W7">
        <v>0</v>
      </c>
      <c r="X7">
        <v>24</v>
      </c>
      <c r="Y7">
        <v>0</v>
      </c>
      <c r="Z7">
        <v>24</v>
      </c>
      <c r="AA7">
        <v>0</v>
      </c>
      <c r="AB7">
        <v>24</v>
      </c>
      <c r="AC7">
        <v>0</v>
      </c>
      <c r="AD7" t="e">
        <v>#DIV/0!</v>
      </c>
      <c r="AE7">
        <v>0</v>
      </c>
      <c r="AF7">
        <v>0</v>
      </c>
    </row>
    <row r="8" spans="1:32" x14ac:dyDescent="0.3">
      <c r="A8">
        <v>20618</v>
      </c>
      <c r="B8" t="s">
        <v>1358</v>
      </c>
      <c r="C8" t="s">
        <v>1053</v>
      </c>
      <c r="D8">
        <v>0</v>
      </c>
      <c r="E8">
        <v>48</v>
      </c>
      <c r="F8">
        <v>4</v>
      </c>
      <c r="G8">
        <v>21</v>
      </c>
      <c r="H8">
        <v>0</v>
      </c>
      <c r="I8">
        <v>24</v>
      </c>
      <c r="J8">
        <v>0</v>
      </c>
      <c r="K8">
        <v>24</v>
      </c>
      <c r="L8">
        <v>4</v>
      </c>
      <c r="M8" s="71">
        <v>18.204702982595521</v>
      </c>
      <c r="N8">
        <v>4</v>
      </c>
      <c r="O8">
        <v>4</v>
      </c>
      <c r="R8">
        <v>20687</v>
      </c>
      <c r="S8" t="s">
        <v>1378</v>
      </c>
      <c r="T8" t="s">
        <v>1053</v>
      </c>
      <c r="U8">
        <v>0</v>
      </c>
      <c r="V8">
        <v>48</v>
      </c>
      <c r="W8">
        <v>0</v>
      </c>
      <c r="X8">
        <v>24</v>
      </c>
      <c r="Y8">
        <v>0</v>
      </c>
      <c r="Z8">
        <v>24</v>
      </c>
      <c r="AA8">
        <v>0</v>
      </c>
      <c r="AB8">
        <v>24</v>
      </c>
      <c r="AC8">
        <v>0</v>
      </c>
      <c r="AD8" t="e">
        <v>#DIV/0!</v>
      </c>
      <c r="AE8">
        <v>0</v>
      </c>
      <c r="AF8">
        <v>0</v>
      </c>
    </row>
    <row r="9" spans="1:32" x14ac:dyDescent="0.3">
      <c r="A9">
        <v>20620</v>
      </c>
      <c r="B9" t="s">
        <v>1258</v>
      </c>
      <c r="C9" t="s">
        <v>1053</v>
      </c>
      <c r="D9">
        <v>47</v>
      </c>
      <c r="E9">
        <v>102</v>
      </c>
      <c r="F9">
        <v>0</v>
      </c>
      <c r="G9">
        <v>24</v>
      </c>
      <c r="H9">
        <v>0</v>
      </c>
      <c r="I9">
        <v>24</v>
      </c>
      <c r="J9">
        <v>0</v>
      </c>
      <c r="K9">
        <v>24</v>
      </c>
      <c r="L9">
        <v>47</v>
      </c>
      <c r="M9" s="71">
        <v>1.5493364240506826</v>
      </c>
      <c r="N9">
        <v>47</v>
      </c>
      <c r="O9">
        <v>47</v>
      </c>
      <c r="R9">
        <v>20688</v>
      </c>
      <c r="S9" t="s">
        <v>1295</v>
      </c>
      <c r="T9" t="s">
        <v>1055</v>
      </c>
      <c r="U9">
        <v>0</v>
      </c>
      <c r="V9">
        <v>48</v>
      </c>
      <c r="W9">
        <v>0</v>
      </c>
      <c r="X9">
        <v>24</v>
      </c>
      <c r="Y9">
        <v>0</v>
      </c>
      <c r="Z9">
        <v>24</v>
      </c>
      <c r="AA9">
        <v>0</v>
      </c>
      <c r="AB9">
        <v>24</v>
      </c>
      <c r="AC9">
        <v>0</v>
      </c>
      <c r="AD9" t="e">
        <v>#DIV/0!</v>
      </c>
      <c r="AE9">
        <v>0</v>
      </c>
      <c r="AF9">
        <v>0</v>
      </c>
    </row>
    <row r="10" spans="1:32" x14ac:dyDescent="0.3">
      <c r="A10">
        <v>20621</v>
      </c>
      <c r="B10" t="s">
        <v>1306</v>
      </c>
      <c r="C10" t="s">
        <v>1053</v>
      </c>
      <c r="D10">
        <v>26</v>
      </c>
      <c r="E10">
        <v>78</v>
      </c>
      <c r="F10">
        <v>0</v>
      </c>
      <c r="G10">
        <v>24</v>
      </c>
      <c r="H10">
        <v>13</v>
      </c>
      <c r="I10">
        <v>33</v>
      </c>
      <c r="J10">
        <v>0</v>
      </c>
      <c r="K10">
        <v>24</v>
      </c>
      <c r="L10">
        <v>39</v>
      </c>
      <c r="M10" s="71">
        <v>1.8671490238559509</v>
      </c>
      <c r="N10">
        <v>39</v>
      </c>
      <c r="O10">
        <v>39</v>
      </c>
      <c r="R10">
        <v>20689</v>
      </c>
      <c r="S10" t="s">
        <v>1356</v>
      </c>
      <c r="T10" t="s">
        <v>1055</v>
      </c>
      <c r="U10">
        <v>0</v>
      </c>
      <c r="V10">
        <v>48</v>
      </c>
      <c r="W10">
        <v>0</v>
      </c>
      <c r="X10">
        <v>24</v>
      </c>
      <c r="Y10">
        <v>0</v>
      </c>
      <c r="Z10">
        <v>24</v>
      </c>
      <c r="AA10">
        <v>0</v>
      </c>
      <c r="AB10">
        <v>24</v>
      </c>
      <c r="AC10">
        <v>0</v>
      </c>
      <c r="AD10" t="e">
        <v>#DIV/0!</v>
      </c>
      <c r="AE10">
        <v>0</v>
      </c>
      <c r="AF10">
        <v>0</v>
      </c>
    </row>
    <row r="11" spans="1:32" x14ac:dyDescent="0.3">
      <c r="A11">
        <v>20623</v>
      </c>
      <c r="B11" t="s">
        <v>1203</v>
      </c>
      <c r="C11" t="s">
        <v>989</v>
      </c>
      <c r="D11">
        <v>0</v>
      </c>
      <c r="E11">
        <v>48</v>
      </c>
      <c r="F11">
        <v>0</v>
      </c>
      <c r="G11">
        <v>24</v>
      </c>
      <c r="H11">
        <v>126</v>
      </c>
      <c r="I11">
        <v>103</v>
      </c>
      <c r="J11">
        <v>53</v>
      </c>
      <c r="K11">
        <v>54</v>
      </c>
      <c r="L11">
        <v>179</v>
      </c>
      <c r="M11" s="71">
        <v>0.40680900519766527</v>
      </c>
      <c r="N11">
        <v>179</v>
      </c>
      <c r="O11">
        <v>179</v>
      </c>
      <c r="R11">
        <v>20690</v>
      </c>
      <c r="S11" t="s">
        <v>1354</v>
      </c>
      <c r="T11" t="s">
        <v>1053</v>
      </c>
      <c r="U11">
        <v>0</v>
      </c>
      <c r="V11">
        <v>48</v>
      </c>
      <c r="W11">
        <v>0</v>
      </c>
      <c r="X11">
        <v>24</v>
      </c>
      <c r="Y11">
        <v>0</v>
      </c>
      <c r="Z11">
        <v>24</v>
      </c>
      <c r="AA11">
        <v>0</v>
      </c>
      <c r="AB11">
        <v>24</v>
      </c>
      <c r="AC11">
        <v>0</v>
      </c>
      <c r="AD11" t="e">
        <v>#DIV/0!</v>
      </c>
      <c r="AE11">
        <v>0</v>
      </c>
      <c r="AF11">
        <v>0</v>
      </c>
    </row>
    <row r="12" spans="1:32" x14ac:dyDescent="0.3">
      <c r="A12">
        <v>20624</v>
      </c>
      <c r="B12" t="s">
        <v>1329</v>
      </c>
      <c r="C12" t="s">
        <v>1053</v>
      </c>
      <c r="D12">
        <v>0</v>
      </c>
      <c r="E12">
        <v>48</v>
      </c>
      <c r="F12">
        <v>0</v>
      </c>
      <c r="G12">
        <v>24</v>
      </c>
      <c r="H12">
        <v>28</v>
      </c>
      <c r="I12">
        <v>40</v>
      </c>
      <c r="J12">
        <v>0</v>
      </c>
      <c r="K12">
        <v>24</v>
      </c>
      <c r="L12">
        <v>28</v>
      </c>
      <c r="M12" s="71">
        <v>2.6006718546565031</v>
      </c>
      <c r="N12">
        <v>28</v>
      </c>
      <c r="O12">
        <v>28</v>
      </c>
      <c r="R12">
        <v>20701</v>
      </c>
      <c r="S12" t="s">
        <v>1379</v>
      </c>
      <c r="T12" t="s">
        <v>1038</v>
      </c>
      <c r="U12">
        <v>0</v>
      </c>
      <c r="V12">
        <v>48</v>
      </c>
      <c r="W12">
        <v>0</v>
      </c>
      <c r="X12">
        <v>24</v>
      </c>
      <c r="Y12">
        <v>0</v>
      </c>
      <c r="Z12">
        <v>24</v>
      </c>
      <c r="AA12">
        <v>0</v>
      </c>
      <c r="AB12">
        <v>24</v>
      </c>
      <c r="AC12">
        <v>0</v>
      </c>
      <c r="AD12" t="e">
        <v>#DIV/0!</v>
      </c>
      <c r="AE12">
        <v>0</v>
      </c>
      <c r="AF12">
        <v>0</v>
      </c>
    </row>
    <row r="13" spans="1:32" x14ac:dyDescent="0.3">
      <c r="A13">
        <v>20625</v>
      </c>
      <c r="B13" t="s">
        <v>1294</v>
      </c>
      <c r="C13" t="s">
        <v>1070</v>
      </c>
      <c r="D13">
        <v>0</v>
      </c>
      <c r="E13">
        <v>48</v>
      </c>
      <c r="F13">
        <v>8</v>
      </c>
      <c r="G13">
        <v>24</v>
      </c>
      <c r="H13">
        <v>0</v>
      </c>
      <c r="I13">
        <v>24</v>
      </c>
      <c r="J13">
        <v>12</v>
      </c>
      <c r="K13">
        <v>31</v>
      </c>
      <c r="L13">
        <v>20</v>
      </c>
      <c r="M13" s="71">
        <v>3.640940596519104</v>
      </c>
      <c r="N13">
        <v>20</v>
      </c>
      <c r="O13">
        <v>20</v>
      </c>
      <c r="R13">
        <v>20742</v>
      </c>
      <c r="S13" t="s">
        <v>1034</v>
      </c>
      <c r="T13" t="s">
        <v>989</v>
      </c>
      <c r="U13">
        <v>0</v>
      </c>
      <c r="V13">
        <v>68</v>
      </c>
      <c r="W13">
        <v>0</v>
      </c>
      <c r="X13">
        <v>34</v>
      </c>
      <c r="Y13">
        <v>0</v>
      </c>
      <c r="Z13">
        <v>34</v>
      </c>
      <c r="AA13">
        <v>0</v>
      </c>
      <c r="AB13">
        <v>34</v>
      </c>
      <c r="AC13">
        <v>0</v>
      </c>
      <c r="AD13" t="e">
        <v>#DIV/0!</v>
      </c>
      <c r="AE13">
        <v>0</v>
      </c>
      <c r="AF13">
        <v>0</v>
      </c>
    </row>
    <row r="14" spans="1:32" x14ac:dyDescent="0.3">
      <c r="A14">
        <v>20626</v>
      </c>
      <c r="B14" t="s">
        <v>1307</v>
      </c>
      <c r="C14" t="s">
        <v>1053</v>
      </c>
      <c r="D14">
        <v>0</v>
      </c>
      <c r="E14">
        <v>48</v>
      </c>
      <c r="F14">
        <v>0</v>
      </c>
      <c r="G14">
        <v>24</v>
      </c>
      <c r="H14">
        <v>0</v>
      </c>
      <c r="I14">
        <v>24</v>
      </c>
      <c r="J14">
        <v>50</v>
      </c>
      <c r="K14">
        <v>72</v>
      </c>
      <c r="L14">
        <v>50</v>
      </c>
      <c r="M14" s="71">
        <v>1.4563762386076418</v>
      </c>
      <c r="N14">
        <v>50</v>
      </c>
      <c r="O14">
        <v>50</v>
      </c>
      <c r="R14">
        <v>20758</v>
      </c>
      <c r="S14" t="s">
        <v>1335</v>
      </c>
      <c r="T14" t="s">
        <v>996</v>
      </c>
      <c r="U14">
        <v>0</v>
      </c>
      <c r="V14">
        <v>48</v>
      </c>
      <c r="W14">
        <v>0</v>
      </c>
      <c r="X14">
        <v>24</v>
      </c>
      <c r="Y14">
        <v>0</v>
      </c>
      <c r="Z14">
        <v>24</v>
      </c>
      <c r="AA14">
        <v>0</v>
      </c>
      <c r="AB14">
        <v>24</v>
      </c>
      <c r="AC14">
        <v>0</v>
      </c>
      <c r="AD14" t="e">
        <v>#DIV/0!</v>
      </c>
      <c r="AE14">
        <v>0</v>
      </c>
      <c r="AF14">
        <v>0</v>
      </c>
    </row>
    <row r="15" spans="1:32" x14ac:dyDescent="0.3">
      <c r="A15">
        <v>20628</v>
      </c>
      <c r="B15" t="s">
        <v>1371</v>
      </c>
      <c r="C15" t="s">
        <v>1053</v>
      </c>
      <c r="D15">
        <v>0</v>
      </c>
      <c r="E15">
        <v>48</v>
      </c>
      <c r="F15">
        <v>0</v>
      </c>
      <c r="G15">
        <v>24</v>
      </c>
      <c r="H15">
        <v>0</v>
      </c>
      <c r="I15">
        <v>24</v>
      </c>
      <c r="J15">
        <v>21</v>
      </c>
      <c r="K15">
        <v>47</v>
      </c>
      <c r="L15">
        <v>21</v>
      </c>
      <c r="M15" s="71">
        <v>3.4675624728753371</v>
      </c>
      <c r="N15">
        <v>21</v>
      </c>
      <c r="O15">
        <v>21</v>
      </c>
      <c r="R15">
        <v>20862</v>
      </c>
      <c r="S15" t="s">
        <v>1380</v>
      </c>
      <c r="T15" t="s">
        <v>991</v>
      </c>
      <c r="U15">
        <v>0</v>
      </c>
      <c r="V15">
        <v>48</v>
      </c>
      <c r="W15">
        <v>0</v>
      </c>
      <c r="X15">
        <v>24</v>
      </c>
      <c r="Y15">
        <v>0</v>
      </c>
      <c r="Z15">
        <v>24</v>
      </c>
      <c r="AA15">
        <v>0</v>
      </c>
      <c r="AB15">
        <v>24</v>
      </c>
      <c r="AC15">
        <v>0</v>
      </c>
      <c r="AD15" t="e">
        <v>#DIV/0!</v>
      </c>
      <c r="AE15">
        <v>0</v>
      </c>
      <c r="AF15">
        <v>0</v>
      </c>
    </row>
    <row r="16" spans="1:32" x14ac:dyDescent="0.3">
      <c r="A16">
        <v>20629</v>
      </c>
      <c r="B16" t="s">
        <v>1313</v>
      </c>
      <c r="C16" t="s">
        <v>1055</v>
      </c>
      <c r="D16">
        <v>0</v>
      </c>
      <c r="E16">
        <v>48</v>
      </c>
      <c r="F16">
        <v>0</v>
      </c>
      <c r="G16">
        <v>24</v>
      </c>
      <c r="H16">
        <v>37</v>
      </c>
      <c r="I16">
        <v>72</v>
      </c>
      <c r="J16">
        <v>0</v>
      </c>
      <c r="K16">
        <v>24</v>
      </c>
      <c r="L16">
        <v>37</v>
      </c>
      <c r="M16" s="71">
        <v>1.9680759981184346</v>
      </c>
      <c r="N16">
        <v>37</v>
      </c>
      <c r="O16">
        <v>37</v>
      </c>
      <c r="R16">
        <v>21010</v>
      </c>
      <c r="S16" t="s">
        <v>1381</v>
      </c>
      <c r="T16" t="s">
        <v>1045</v>
      </c>
      <c r="U16">
        <v>0</v>
      </c>
      <c r="V16">
        <v>48</v>
      </c>
      <c r="W16">
        <v>0</v>
      </c>
      <c r="X16">
        <v>24</v>
      </c>
      <c r="Y16">
        <v>0</v>
      </c>
      <c r="Z16">
        <v>24</v>
      </c>
      <c r="AA16">
        <v>0</v>
      </c>
      <c r="AB16">
        <v>24</v>
      </c>
      <c r="AC16">
        <v>0</v>
      </c>
      <c r="AD16" t="e">
        <v>#DIV/0!</v>
      </c>
      <c r="AE16">
        <v>0</v>
      </c>
      <c r="AF16">
        <v>0</v>
      </c>
    </row>
    <row r="17" spans="1:32" x14ac:dyDescent="0.3">
      <c r="A17">
        <v>20637</v>
      </c>
      <c r="B17" t="s">
        <v>1167</v>
      </c>
      <c r="C17" t="s">
        <v>1070</v>
      </c>
      <c r="D17">
        <v>39</v>
      </c>
      <c r="E17">
        <v>103</v>
      </c>
      <c r="F17">
        <v>0</v>
      </c>
      <c r="G17">
        <v>34</v>
      </c>
      <c r="H17">
        <v>113</v>
      </c>
      <c r="I17">
        <v>146</v>
      </c>
      <c r="J17">
        <v>49</v>
      </c>
      <c r="K17">
        <v>61</v>
      </c>
      <c r="L17">
        <v>201</v>
      </c>
      <c r="M17" s="71">
        <v>0.36228264641981134</v>
      </c>
      <c r="N17">
        <v>201</v>
      </c>
      <c r="O17">
        <v>201</v>
      </c>
      <c r="R17">
        <v>21031</v>
      </c>
      <c r="S17" t="s">
        <v>1382</v>
      </c>
      <c r="T17" t="s">
        <v>992</v>
      </c>
      <c r="U17">
        <v>0</v>
      </c>
      <c r="V17">
        <v>48</v>
      </c>
      <c r="W17">
        <v>0</v>
      </c>
      <c r="X17">
        <v>24</v>
      </c>
      <c r="Y17">
        <v>0</v>
      </c>
      <c r="Z17">
        <v>24</v>
      </c>
      <c r="AA17">
        <v>0</v>
      </c>
      <c r="AB17">
        <v>24</v>
      </c>
      <c r="AC17">
        <v>0</v>
      </c>
      <c r="AD17" t="e">
        <v>#DIV/0!</v>
      </c>
      <c r="AE17">
        <v>0</v>
      </c>
      <c r="AF17">
        <v>0</v>
      </c>
    </row>
    <row r="18" spans="1:32" x14ac:dyDescent="0.3">
      <c r="A18">
        <v>20645</v>
      </c>
      <c r="B18" t="s">
        <v>1331</v>
      </c>
      <c r="C18" t="s">
        <v>1070</v>
      </c>
      <c r="D18">
        <v>0</v>
      </c>
      <c r="E18">
        <v>48</v>
      </c>
      <c r="F18">
        <v>0</v>
      </c>
      <c r="G18">
        <v>24</v>
      </c>
      <c r="H18">
        <v>14</v>
      </c>
      <c r="I18">
        <v>34</v>
      </c>
      <c r="J18">
        <v>0</v>
      </c>
      <c r="K18">
        <v>24</v>
      </c>
      <c r="L18">
        <v>14</v>
      </c>
      <c r="M18" s="71">
        <v>5.2013437093130062</v>
      </c>
      <c r="N18">
        <v>14</v>
      </c>
      <c r="O18">
        <v>14</v>
      </c>
      <c r="R18">
        <v>21051</v>
      </c>
      <c r="S18" t="s">
        <v>1383</v>
      </c>
      <c r="T18" t="s">
        <v>992</v>
      </c>
      <c r="U18">
        <v>0</v>
      </c>
      <c r="V18">
        <v>48</v>
      </c>
      <c r="W18">
        <v>0</v>
      </c>
      <c r="X18">
        <v>24</v>
      </c>
      <c r="Y18">
        <v>0</v>
      </c>
      <c r="Z18">
        <v>24</v>
      </c>
      <c r="AA18">
        <v>0</v>
      </c>
      <c r="AB18">
        <v>24</v>
      </c>
      <c r="AC18">
        <v>0</v>
      </c>
      <c r="AD18" t="e">
        <v>#DIV/0!</v>
      </c>
      <c r="AE18">
        <v>0</v>
      </c>
      <c r="AF18">
        <v>0</v>
      </c>
    </row>
    <row r="19" spans="1:32" x14ac:dyDescent="0.3">
      <c r="A19">
        <v>20658</v>
      </c>
      <c r="B19" t="s">
        <v>1323</v>
      </c>
      <c r="C19" t="s">
        <v>1070</v>
      </c>
      <c r="D19">
        <v>7</v>
      </c>
      <c r="E19">
        <v>46</v>
      </c>
      <c r="F19">
        <v>0</v>
      </c>
      <c r="G19">
        <v>24</v>
      </c>
      <c r="H19">
        <v>21</v>
      </c>
      <c r="I19">
        <v>29</v>
      </c>
      <c r="J19">
        <v>0</v>
      </c>
      <c r="K19">
        <v>24</v>
      </c>
      <c r="L19">
        <v>28</v>
      </c>
      <c r="M19" s="71">
        <v>2.6006718546565031</v>
      </c>
      <c r="N19">
        <v>28</v>
      </c>
      <c r="O19">
        <v>28</v>
      </c>
      <c r="R19">
        <v>21056</v>
      </c>
      <c r="S19" t="s">
        <v>1384</v>
      </c>
      <c r="T19" t="s">
        <v>996</v>
      </c>
      <c r="U19">
        <v>0</v>
      </c>
      <c r="V19">
        <v>48</v>
      </c>
      <c r="W19">
        <v>0</v>
      </c>
      <c r="X19">
        <v>24</v>
      </c>
      <c r="Y19">
        <v>0</v>
      </c>
      <c r="Z19">
        <v>24</v>
      </c>
      <c r="AA19">
        <v>0</v>
      </c>
      <c r="AB19">
        <v>24</v>
      </c>
      <c r="AC19">
        <v>0</v>
      </c>
      <c r="AD19" t="e">
        <v>#DIV/0!</v>
      </c>
      <c r="AE19">
        <v>0</v>
      </c>
      <c r="AF19">
        <v>0</v>
      </c>
    </row>
    <row r="20" spans="1:32" x14ac:dyDescent="0.3">
      <c r="A20">
        <v>20662</v>
      </c>
      <c r="B20" t="s">
        <v>1251</v>
      </c>
      <c r="C20" t="s">
        <v>1070</v>
      </c>
      <c r="D20">
        <v>50</v>
      </c>
      <c r="E20">
        <v>89</v>
      </c>
      <c r="F20">
        <v>11</v>
      </c>
      <c r="G20">
        <v>30</v>
      </c>
      <c r="H20">
        <v>0</v>
      </c>
      <c r="I20">
        <v>24</v>
      </c>
      <c r="J20">
        <v>9</v>
      </c>
      <c r="K20">
        <v>31</v>
      </c>
      <c r="L20">
        <v>70</v>
      </c>
      <c r="M20" s="71">
        <v>1.0402687418626011</v>
      </c>
      <c r="N20">
        <v>70</v>
      </c>
      <c r="O20">
        <v>70</v>
      </c>
      <c r="R20">
        <v>21071</v>
      </c>
      <c r="S20" t="s">
        <v>1385</v>
      </c>
      <c r="T20" t="s">
        <v>992</v>
      </c>
      <c r="U20">
        <v>0</v>
      </c>
      <c r="V20">
        <v>48</v>
      </c>
      <c r="W20">
        <v>0</v>
      </c>
      <c r="X20">
        <v>24</v>
      </c>
      <c r="Y20">
        <v>0</v>
      </c>
      <c r="Z20">
        <v>24</v>
      </c>
      <c r="AA20">
        <v>0</v>
      </c>
      <c r="AB20">
        <v>24</v>
      </c>
      <c r="AC20">
        <v>0</v>
      </c>
      <c r="AD20" t="e">
        <v>#DIV/0!</v>
      </c>
      <c r="AE20">
        <v>0</v>
      </c>
      <c r="AF20">
        <v>0</v>
      </c>
    </row>
    <row r="21" spans="1:32" x14ac:dyDescent="0.3">
      <c r="A21">
        <v>20664</v>
      </c>
      <c r="B21" t="s">
        <v>1230</v>
      </c>
      <c r="C21" t="s">
        <v>1070</v>
      </c>
      <c r="D21">
        <v>56</v>
      </c>
      <c r="E21">
        <v>96</v>
      </c>
      <c r="F21">
        <v>0</v>
      </c>
      <c r="G21">
        <v>24</v>
      </c>
      <c r="H21">
        <v>95</v>
      </c>
      <c r="I21">
        <v>108</v>
      </c>
      <c r="J21">
        <v>29</v>
      </c>
      <c r="K21">
        <v>39</v>
      </c>
      <c r="L21">
        <v>180</v>
      </c>
      <c r="M21" s="71">
        <v>0.40454895516878936</v>
      </c>
      <c r="N21">
        <v>180</v>
      </c>
      <c r="O21">
        <v>180</v>
      </c>
      <c r="R21">
        <v>21082</v>
      </c>
      <c r="S21" t="s">
        <v>1386</v>
      </c>
      <c r="T21" t="s">
        <v>992</v>
      </c>
      <c r="U21">
        <v>0</v>
      </c>
      <c r="V21">
        <v>48</v>
      </c>
      <c r="W21">
        <v>0</v>
      </c>
      <c r="X21">
        <v>24</v>
      </c>
      <c r="Y21">
        <v>0</v>
      </c>
      <c r="Z21">
        <v>24</v>
      </c>
      <c r="AA21">
        <v>0</v>
      </c>
      <c r="AB21">
        <v>24</v>
      </c>
      <c r="AC21">
        <v>0</v>
      </c>
      <c r="AD21" t="e">
        <v>#DIV/0!</v>
      </c>
      <c r="AE21">
        <v>0</v>
      </c>
      <c r="AF21">
        <v>0</v>
      </c>
    </row>
    <row r="22" spans="1:32" x14ac:dyDescent="0.3">
      <c r="A22">
        <v>20667</v>
      </c>
      <c r="B22" t="s">
        <v>1375</v>
      </c>
      <c r="C22" t="s">
        <v>1053</v>
      </c>
      <c r="D22">
        <v>0</v>
      </c>
      <c r="E22">
        <v>48</v>
      </c>
      <c r="F22">
        <v>0</v>
      </c>
      <c r="G22">
        <v>24</v>
      </c>
      <c r="H22">
        <v>20</v>
      </c>
      <c r="I22">
        <v>45</v>
      </c>
      <c r="J22">
        <v>0</v>
      </c>
      <c r="K22">
        <v>24</v>
      </c>
      <c r="L22">
        <v>20</v>
      </c>
      <c r="M22" s="71">
        <v>3.640940596519104</v>
      </c>
      <c r="N22">
        <v>20</v>
      </c>
      <c r="O22">
        <v>20</v>
      </c>
      <c r="R22">
        <v>21105</v>
      </c>
      <c r="S22" t="s">
        <v>1387</v>
      </c>
      <c r="T22" t="s">
        <v>992</v>
      </c>
      <c r="U22">
        <v>0</v>
      </c>
      <c r="V22">
        <v>48</v>
      </c>
      <c r="W22">
        <v>0</v>
      </c>
      <c r="X22">
        <v>24</v>
      </c>
      <c r="Y22">
        <v>0</v>
      </c>
      <c r="Z22">
        <v>24</v>
      </c>
      <c r="AA22">
        <v>0</v>
      </c>
      <c r="AB22">
        <v>24</v>
      </c>
      <c r="AC22">
        <v>0</v>
      </c>
      <c r="AD22" t="e">
        <v>#DIV/0!</v>
      </c>
      <c r="AE22">
        <v>0</v>
      </c>
      <c r="AF22">
        <v>0</v>
      </c>
    </row>
    <row r="23" spans="1:32" x14ac:dyDescent="0.3">
      <c r="A23">
        <v>20674</v>
      </c>
      <c r="B23" t="s">
        <v>1337</v>
      </c>
      <c r="C23" t="s">
        <v>1053</v>
      </c>
      <c r="D23">
        <v>0</v>
      </c>
      <c r="E23">
        <v>48</v>
      </c>
      <c r="F23">
        <v>0</v>
      </c>
      <c r="G23">
        <v>24</v>
      </c>
      <c r="H23">
        <v>12</v>
      </c>
      <c r="I23">
        <v>33</v>
      </c>
      <c r="J23">
        <v>0</v>
      </c>
      <c r="K23">
        <v>24</v>
      </c>
      <c r="L23">
        <v>12</v>
      </c>
      <c r="M23" s="71">
        <v>6.0682343275318402</v>
      </c>
      <c r="N23">
        <v>12</v>
      </c>
      <c r="O23">
        <v>12</v>
      </c>
      <c r="R23">
        <v>21156</v>
      </c>
      <c r="S23" t="s">
        <v>1364</v>
      </c>
      <c r="T23" t="s">
        <v>992</v>
      </c>
      <c r="U23">
        <v>0</v>
      </c>
      <c r="V23">
        <v>48</v>
      </c>
      <c r="W23">
        <v>0</v>
      </c>
      <c r="X23">
        <v>24</v>
      </c>
      <c r="Y23">
        <v>0</v>
      </c>
      <c r="Z23">
        <v>24</v>
      </c>
      <c r="AA23">
        <v>0</v>
      </c>
      <c r="AB23">
        <v>24</v>
      </c>
      <c r="AC23">
        <v>0</v>
      </c>
      <c r="AD23" t="e">
        <v>#DIV/0!</v>
      </c>
      <c r="AE23">
        <v>0</v>
      </c>
      <c r="AF23">
        <v>0</v>
      </c>
    </row>
    <row r="24" spans="1:32" x14ac:dyDescent="0.3">
      <c r="A24">
        <v>20675</v>
      </c>
      <c r="B24" t="s">
        <v>1246</v>
      </c>
      <c r="C24" t="s">
        <v>1070</v>
      </c>
      <c r="D24">
        <v>94</v>
      </c>
      <c r="E24">
        <v>127</v>
      </c>
      <c r="F24">
        <v>0</v>
      </c>
      <c r="G24">
        <v>24</v>
      </c>
      <c r="H24">
        <v>40</v>
      </c>
      <c r="I24">
        <v>73</v>
      </c>
      <c r="J24">
        <v>9</v>
      </c>
      <c r="K24">
        <v>27</v>
      </c>
      <c r="L24">
        <v>143</v>
      </c>
      <c r="M24" s="71">
        <v>0.50922246105162294</v>
      </c>
      <c r="N24">
        <v>143</v>
      </c>
      <c r="O24">
        <v>143</v>
      </c>
      <c r="R24">
        <v>21240</v>
      </c>
      <c r="S24" t="s">
        <v>992</v>
      </c>
      <c r="T24" t="s">
        <v>996</v>
      </c>
      <c r="U24">
        <v>0</v>
      </c>
      <c r="V24">
        <v>48</v>
      </c>
      <c r="W24">
        <v>0</v>
      </c>
      <c r="X24">
        <v>24</v>
      </c>
      <c r="Y24">
        <v>0</v>
      </c>
      <c r="Z24">
        <v>24</v>
      </c>
      <c r="AA24">
        <v>0</v>
      </c>
      <c r="AB24">
        <v>24</v>
      </c>
      <c r="AC24">
        <v>0</v>
      </c>
      <c r="AD24" t="e">
        <v>#DIV/0!</v>
      </c>
      <c r="AE24">
        <v>0</v>
      </c>
      <c r="AF24">
        <v>0</v>
      </c>
    </row>
    <row r="25" spans="1:32" x14ac:dyDescent="0.3">
      <c r="A25">
        <v>20676</v>
      </c>
      <c r="B25" t="s">
        <v>1225</v>
      </c>
      <c r="C25" t="s">
        <v>1055</v>
      </c>
      <c r="D25">
        <v>65</v>
      </c>
      <c r="E25">
        <v>114</v>
      </c>
      <c r="F25">
        <v>0</v>
      </c>
      <c r="G25">
        <v>24</v>
      </c>
      <c r="H25">
        <v>0</v>
      </c>
      <c r="I25">
        <v>24</v>
      </c>
      <c r="J25">
        <v>56</v>
      </c>
      <c r="K25">
        <v>60</v>
      </c>
      <c r="L25">
        <v>121</v>
      </c>
      <c r="M25" s="71">
        <v>0.60180836306100893</v>
      </c>
      <c r="N25">
        <v>121</v>
      </c>
      <c r="O25">
        <v>121</v>
      </c>
      <c r="R25">
        <v>21250</v>
      </c>
      <c r="S25" t="s">
        <v>992</v>
      </c>
      <c r="T25" t="s">
        <v>992</v>
      </c>
      <c r="U25">
        <v>0</v>
      </c>
      <c r="V25">
        <v>48</v>
      </c>
      <c r="W25">
        <v>0</v>
      </c>
      <c r="X25">
        <v>24</v>
      </c>
      <c r="Y25">
        <v>0</v>
      </c>
      <c r="Z25">
        <v>24</v>
      </c>
      <c r="AA25">
        <v>0</v>
      </c>
      <c r="AB25">
        <v>24</v>
      </c>
      <c r="AC25">
        <v>0</v>
      </c>
      <c r="AD25" t="e">
        <v>#DIV/0!</v>
      </c>
      <c r="AE25">
        <v>0</v>
      </c>
      <c r="AF25">
        <v>0</v>
      </c>
    </row>
    <row r="26" spans="1:32" x14ac:dyDescent="0.3">
      <c r="A26">
        <v>20677</v>
      </c>
      <c r="B26" t="s">
        <v>1287</v>
      </c>
      <c r="C26" t="s">
        <v>1070</v>
      </c>
      <c r="D26">
        <v>28</v>
      </c>
      <c r="E26">
        <v>62</v>
      </c>
      <c r="F26">
        <v>8</v>
      </c>
      <c r="G26">
        <v>25</v>
      </c>
      <c r="H26">
        <v>42</v>
      </c>
      <c r="I26">
        <v>62</v>
      </c>
      <c r="J26">
        <v>15</v>
      </c>
      <c r="K26">
        <v>29</v>
      </c>
      <c r="L26">
        <v>93</v>
      </c>
      <c r="M26" s="71">
        <v>0.78299797774604385</v>
      </c>
      <c r="N26">
        <v>93</v>
      </c>
      <c r="O26">
        <v>93</v>
      </c>
      <c r="R26">
        <v>21251</v>
      </c>
      <c r="S26" t="s">
        <v>992</v>
      </c>
      <c r="T26" t="s">
        <v>993</v>
      </c>
      <c r="U26">
        <v>0</v>
      </c>
      <c r="V26">
        <v>48</v>
      </c>
      <c r="W26">
        <v>0</v>
      </c>
      <c r="X26">
        <v>24</v>
      </c>
      <c r="Y26">
        <v>0</v>
      </c>
      <c r="Z26">
        <v>24</v>
      </c>
      <c r="AA26">
        <v>0</v>
      </c>
      <c r="AB26">
        <v>24</v>
      </c>
      <c r="AC26">
        <v>0</v>
      </c>
      <c r="AD26" t="e">
        <v>#DIV/0!</v>
      </c>
      <c r="AE26">
        <v>0</v>
      </c>
      <c r="AF26">
        <v>0</v>
      </c>
    </row>
    <row r="27" spans="1:32" x14ac:dyDescent="0.3">
      <c r="A27">
        <v>20680</v>
      </c>
      <c r="B27" t="s">
        <v>1325</v>
      </c>
      <c r="C27" t="s">
        <v>1053</v>
      </c>
      <c r="D27">
        <v>26</v>
      </c>
      <c r="E27">
        <v>80</v>
      </c>
      <c r="F27">
        <v>0</v>
      </c>
      <c r="G27">
        <v>24</v>
      </c>
      <c r="H27">
        <v>1</v>
      </c>
      <c r="I27">
        <v>14</v>
      </c>
      <c r="J27">
        <v>0</v>
      </c>
      <c r="K27">
        <v>24</v>
      </c>
      <c r="L27">
        <v>27</v>
      </c>
      <c r="M27" s="71">
        <v>2.6969930344585955</v>
      </c>
      <c r="N27">
        <v>27</v>
      </c>
      <c r="O27">
        <v>27</v>
      </c>
      <c r="R27">
        <v>21252</v>
      </c>
      <c r="S27" t="s">
        <v>992</v>
      </c>
      <c r="T27" t="s">
        <v>992</v>
      </c>
      <c r="U27">
        <v>0</v>
      </c>
      <c r="V27">
        <v>48</v>
      </c>
      <c r="W27">
        <v>0</v>
      </c>
      <c r="X27">
        <v>24</v>
      </c>
      <c r="Y27">
        <v>0</v>
      </c>
      <c r="Z27">
        <v>24</v>
      </c>
      <c r="AA27">
        <v>0</v>
      </c>
      <c r="AB27">
        <v>24</v>
      </c>
      <c r="AC27">
        <v>0</v>
      </c>
      <c r="AD27" t="e">
        <v>#DIV/0!</v>
      </c>
      <c r="AE27">
        <v>0</v>
      </c>
      <c r="AF27">
        <v>0</v>
      </c>
    </row>
    <row r="28" spans="1:32" x14ac:dyDescent="0.3">
      <c r="A28">
        <v>20684</v>
      </c>
      <c r="B28" t="s">
        <v>1262</v>
      </c>
      <c r="C28" t="s">
        <v>1053</v>
      </c>
      <c r="D28">
        <v>31</v>
      </c>
      <c r="E28">
        <v>84</v>
      </c>
      <c r="F28">
        <v>32</v>
      </c>
      <c r="G28">
        <v>62</v>
      </c>
      <c r="H28">
        <v>0</v>
      </c>
      <c r="I28">
        <v>24</v>
      </c>
      <c r="J28">
        <v>66</v>
      </c>
      <c r="K28">
        <v>107</v>
      </c>
      <c r="L28">
        <v>129</v>
      </c>
      <c r="M28" s="71">
        <v>0.56448691418900843</v>
      </c>
      <c r="N28">
        <v>129</v>
      </c>
      <c r="O28">
        <v>129</v>
      </c>
      <c r="R28">
        <v>21405</v>
      </c>
      <c r="S28" t="s">
        <v>1042</v>
      </c>
      <c r="T28" t="s">
        <v>996</v>
      </c>
      <c r="U28">
        <v>0</v>
      </c>
      <c r="V28">
        <v>48</v>
      </c>
      <c r="W28">
        <v>0</v>
      </c>
      <c r="X28">
        <v>24</v>
      </c>
      <c r="Y28">
        <v>0</v>
      </c>
      <c r="Z28">
        <v>24</v>
      </c>
      <c r="AA28">
        <v>0</v>
      </c>
      <c r="AB28">
        <v>24</v>
      </c>
      <c r="AC28">
        <v>0</v>
      </c>
      <c r="AD28" t="e">
        <v>#DIV/0!</v>
      </c>
      <c r="AE28">
        <v>0</v>
      </c>
      <c r="AF28">
        <v>0</v>
      </c>
    </row>
    <row r="29" spans="1:32" x14ac:dyDescent="0.3">
      <c r="A29">
        <v>20692</v>
      </c>
      <c r="B29" t="s">
        <v>1350</v>
      </c>
      <c r="C29" t="s">
        <v>1053</v>
      </c>
      <c r="D29">
        <v>0</v>
      </c>
      <c r="E29">
        <v>48</v>
      </c>
      <c r="F29">
        <v>0</v>
      </c>
      <c r="G29">
        <v>24</v>
      </c>
      <c r="H29">
        <v>0</v>
      </c>
      <c r="I29">
        <v>24</v>
      </c>
      <c r="J29">
        <v>15</v>
      </c>
      <c r="K29">
        <v>37</v>
      </c>
      <c r="L29">
        <v>15</v>
      </c>
      <c r="M29" s="71">
        <v>4.8545874620254725</v>
      </c>
      <c r="N29">
        <v>15</v>
      </c>
      <c r="O29">
        <v>15</v>
      </c>
      <c r="R29">
        <v>21524</v>
      </c>
      <c r="S29" t="s">
        <v>1344</v>
      </c>
      <c r="T29" t="s">
        <v>1032</v>
      </c>
      <c r="U29">
        <v>0</v>
      </c>
      <c r="V29">
        <v>48</v>
      </c>
      <c r="W29">
        <v>0</v>
      </c>
      <c r="X29">
        <v>24</v>
      </c>
      <c r="Y29">
        <v>0</v>
      </c>
      <c r="Z29">
        <v>24</v>
      </c>
      <c r="AA29">
        <v>0</v>
      </c>
      <c r="AB29">
        <v>24</v>
      </c>
      <c r="AC29">
        <v>0</v>
      </c>
      <c r="AD29" t="e">
        <v>#DIV/0!</v>
      </c>
      <c r="AE29">
        <v>0</v>
      </c>
      <c r="AF29">
        <v>0</v>
      </c>
    </row>
    <row r="30" spans="1:32" x14ac:dyDescent="0.3">
      <c r="A30">
        <v>20693</v>
      </c>
      <c r="B30" t="s">
        <v>1360</v>
      </c>
      <c r="C30" t="s">
        <v>1070</v>
      </c>
      <c r="D30">
        <v>0</v>
      </c>
      <c r="E30">
        <v>48</v>
      </c>
      <c r="F30">
        <v>0</v>
      </c>
      <c r="G30">
        <v>24</v>
      </c>
      <c r="H30">
        <v>0</v>
      </c>
      <c r="I30">
        <v>24</v>
      </c>
      <c r="J30">
        <v>11</v>
      </c>
      <c r="K30">
        <v>28</v>
      </c>
      <c r="L30">
        <v>11</v>
      </c>
      <c r="M30" s="71">
        <v>6.6198919936710983</v>
      </c>
      <c r="N30">
        <v>11</v>
      </c>
      <c r="O30">
        <v>11</v>
      </c>
      <c r="R30">
        <v>21612</v>
      </c>
      <c r="S30" t="s">
        <v>1309</v>
      </c>
      <c r="T30" t="s">
        <v>1057</v>
      </c>
      <c r="U30">
        <v>0</v>
      </c>
      <c r="V30">
        <v>48</v>
      </c>
      <c r="W30">
        <v>0</v>
      </c>
      <c r="X30">
        <v>24</v>
      </c>
      <c r="Y30">
        <v>0</v>
      </c>
      <c r="Z30">
        <v>24</v>
      </c>
      <c r="AA30">
        <v>0</v>
      </c>
      <c r="AB30">
        <v>24</v>
      </c>
      <c r="AC30">
        <v>0</v>
      </c>
      <c r="AD30" t="e">
        <v>#DIV/0!</v>
      </c>
      <c r="AE30">
        <v>0</v>
      </c>
      <c r="AF30">
        <v>0</v>
      </c>
    </row>
    <row r="31" spans="1:32" x14ac:dyDescent="0.3">
      <c r="A31">
        <v>20695</v>
      </c>
      <c r="B31" t="s">
        <v>1216</v>
      </c>
      <c r="C31" t="s">
        <v>1070</v>
      </c>
      <c r="D31">
        <v>0</v>
      </c>
      <c r="E31">
        <v>68</v>
      </c>
      <c r="F31">
        <v>0</v>
      </c>
      <c r="G31">
        <v>34</v>
      </c>
      <c r="H31">
        <v>34</v>
      </c>
      <c r="I31">
        <v>62</v>
      </c>
      <c r="J31">
        <v>159</v>
      </c>
      <c r="K31">
        <v>176</v>
      </c>
      <c r="L31">
        <v>193</v>
      </c>
      <c r="M31" s="71">
        <v>0.3772995436807362</v>
      </c>
      <c r="N31">
        <v>193</v>
      </c>
      <c r="O31">
        <v>193</v>
      </c>
      <c r="R31">
        <v>21626</v>
      </c>
      <c r="S31" t="s">
        <v>1365</v>
      </c>
      <c r="T31" t="s">
        <v>1097</v>
      </c>
      <c r="U31">
        <v>0</v>
      </c>
      <c r="V31">
        <v>48</v>
      </c>
      <c r="W31">
        <v>0</v>
      </c>
      <c r="X31">
        <v>24</v>
      </c>
      <c r="Y31">
        <v>0</v>
      </c>
      <c r="Z31">
        <v>24</v>
      </c>
      <c r="AA31">
        <v>0</v>
      </c>
      <c r="AB31">
        <v>24</v>
      </c>
      <c r="AC31">
        <v>0</v>
      </c>
      <c r="AD31" t="e">
        <v>#DIV/0!</v>
      </c>
      <c r="AE31">
        <v>0</v>
      </c>
      <c r="AF31">
        <v>0</v>
      </c>
    </row>
    <row r="32" spans="1:32" x14ac:dyDescent="0.3">
      <c r="A32">
        <v>20714</v>
      </c>
      <c r="B32" t="s">
        <v>1174</v>
      </c>
      <c r="C32" t="s">
        <v>1055</v>
      </c>
      <c r="D32">
        <v>15</v>
      </c>
      <c r="E32">
        <v>49</v>
      </c>
      <c r="F32">
        <v>74</v>
      </c>
      <c r="G32">
        <v>103</v>
      </c>
      <c r="H32">
        <v>53</v>
      </c>
      <c r="I32">
        <v>64</v>
      </c>
      <c r="J32">
        <v>53</v>
      </c>
      <c r="K32">
        <v>65</v>
      </c>
      <c r="L32">
        <v>195</v>
      </c>
      <c r="M32" s="71">
        <v>0.37342980477119014</v>
      </c>
      <c r="N32">
        <v>195</v>
      </c>
      <c r="O32">
        <v>195</v>
      </c>
      <c r="R32">
        <v>21627</v>
      </c>
      <c r="S32" t="s">
        <v>1389</v>
      </c>
      <c r="T32" t="s">
        <v>1097</v>
      </c>
      <c r="U32">
        <v>0</v>
      </c>
      <c r="V32">
        <v>48</v>
      </c>
      <c r="W32">
        <v>0</v>
      </c>
      <c r="X32">
        <v>24</v>
      </c>
      <c r="Y32">
        <v>0</v>
      </c>
      <c r="Z32">
        <v>24</v>
      </c>
      <c r="AA32">
        <v>0</v>
      </c>
      <c r="AB32">
        <v>24</v>
      </c>
      <c r="AC32">
        <v>0</v>
      </c>
      <c r="AD32" t="e">
        <v>#DIV/0!</v>
      </c>
      <c r="AE32">
        <v>0</v>
      </c>
      <c r="AF32">
        <v>0</v>
      </c>
    </row>
    <row r="33" spans="1:32" x14ac:dyDescent="0.3">
      <c r="A33">
        <v>20733</v>
      </c>
      <c r="B33" t="s">
        <v>1326</v>
      </c>
      <c r="C33" t="s">
        <v>996</v>
      </c>
      <c r="D33">
        <v>20</v>
      </c>
      <c r="E33">
        <v>58</v>
      </c>
      <c r="F33">
        <v>0</v>
      </c>
      <c r="G33">
        <v>24</v>
      </c>
      <c r="H33">
        <v>24</v>
      </c>
      <c r="I33">
        <v>41</v>
      </c>
      <c r="J33">
        <v>0</v>
      </c>
      <c r="K33">
        <v>24</v>
      </c>
      <c r="L33">
        <v>44</v>
      </c>
      <c r="M33" s="71">
        <v>1.6549729984177746</v>
      </c>
      <c r="N33">
        <v>44</v>
      </c>
      <c r="O33">
        <v>44</v>
      </c>
      <c r="R33">
        <v>21634</v>
      </c>
      <c r="S33" t="s">
        <v>1352</v>
      </c>
      <c r="T33" t="s">
        <v>1097</v>
      </c>
      <c r="U33">
        <v>0</v>
      </c>
      <c r="V33">
        <v>48</v>
      </c>
      <c r="W33">
        <v>0</v>
      </c>
      <c r="X33">
        <v>24</v>
      </c>
      <c r="Y33">
        <v>0</v>
      </c>
      <c r="Z33">
        <v>24</v>
      </c>
      <c r="AA33">
        <v>0</v>
      </c>
      <c r="AB33">
        <v>24</v>
      </c>
      <c r="AC33">
        <v>0</v>
      </c>
      <c r="AD33" t="e">
        <v>#DIV/0!</v>
      </c>
      <c r="AE33">
        <v>0</v>
      </c>
      <c r="AF33">
        <v>0</v>
      </c>
    </row>
    <row r="34" spans="1:32" x14ac:dyDescent="0.3">
      <c r="A34">
        <v>20736</v>
      </c>
      <c r="B34" t="s">
        <v>1208</v>
      </c>
      <c r="C34" t="s">
        <v>1055</v>
      </c>
      <c r="D34">
        <v>80</v>
      </c>
      <c r="E34">
        <v>128</v>
      </c>
      <c r="F34">
        <v>0</v>
      </c>
      <c r="G34">
        <v>34</v>
      </c>
      <c r="H34">
        <v>45</v>
      </c>
      <c r="I34">
        <v>68</v>
      </c>
      <c r="J34">
        <v>48</v>
      </c>
      <c r="K34">
        <v>55</v>
      </c>
      <c r="L34">
        <v>173</v>
      </c>
      <c r="M34" s="71">
        <v>0.42091798803689068</v>
      </c>
      <c r="N34">
        <v>173</v>
      </c>
      <c r="O34">
        <v>173</v>
      </c>
      <c r="R34">
        <v>21644</v>
      </c>
      <c r="S34" t="s">
        <v>1390</v>
      </c>
      <c r="T34" t="s">
        <v>1141</v>
      </c>
      <c r="U34">
        <v>0</v>
      </c>
      <c r="V34">
        <v>48</v>
      </c>
      <c r="W34">
        <v>0</v>
      </c>
      <c r="X34">
        <v>24</v>
      </c>
      <c r="Y34">
        <v>0</v>
      </c>
      <c r="Z34">
        <v>24</v>
      </c>
      <c r="AA34">
        <v>0</v>
      </c>
      <c r="AB34">
        <v>24</v>
      </c>
      <c r="AC34">
        <v>0</v>
      </c>
      <c r="AD34" t="e">
        <v>#DIV/0!</v>
      </c>
      <c r="AE34">
        <v>0</v>
      </c>
      <c r="AF34">
        <v>0</v>
      </c>
    </row>
    <row r="35" spans="1:32" x14ac:dyDescent="0.3">
      <c r="A35">
        <v>20751</v>
      </c>
      <c r="B35" t="s">
        <v>1292</v>
      </c>
      <c r="C35" t="s">
        <v>996</v>
      </c>
      <c r="D35">
        <v>4</v>
      </c>
      <c r="E35">
        <v>45</v>
      </c>
      <c r="F35">
        <v>0</v>
      </c>
      <c r="G35">
        <v>24</v>
      </c>
      <c r="H35">
        <v>11</v>
      </c>
      <c r="I35">
        <v>29</v>
      </c>
      <c r="J35">
        <v>10</v>
      </c>
      <c r="K35">
        <v>28</v>
      </c>
      <c r="L35">
        <v>25</v>
      </c>
      <c r="M35" s="71">
        <v>2.9127524772152835</v>
      </c>
      <c r="N35">
        <v>25</v>
      </c>
      <c r="O35">
        <v>25</v>
      </c>
      <c r="R35">
        <v>21650</v>
      </c>
      <c r="S35" t="s">
        <v>1391</v>
      </c>
      <c r="T35" t="s">
        <v>1131</v>
      </c>
      <c r="U35">
        <v>0</v>
      </c>
      <c r="V35">
        <v>48</v>
      </c>
      <c r="W35">
        <v>0</v>
      </c>
      <c r="X35">
        <v>24</v>
      </c>
      <c r="Y35">
        <v>0</v>
      </c>
      <c r="Z35">
        <v>24</v>
      </c>
      <c r="AA35">
        <v>0</v>
      </c>
      <c r="AB35">
        <v>24</v>
      </c>
      <c r="AC35">
        <v>0</v>
      </c>
      <c r="AD35" t="e">
        <v>#DIV/0!</v>
      </c>
      <c r="AE35">
        <v>0</v>
      </c>
      <c r="AF35">
        <v>0</v>
      </c>
    </row>
    <row r="36" spans="1:32" x14ac:dyDescent="0.3">
      <c r="A36">
        <v>20755</v>
      </c>
      <c r="B36" t="s">
        <v>1197</v>
      </c>
      <c r="C36" t="s">
        <v>996</v>
      </c>
      <c r="D36">
        <v>90</v>
      </c>
      <c r="E36">
        <v>125</v>
      </c>
      <c r="F36">
        <v>15</v>
      </c>
      <c r="G36">
        <v>43</v>
      </c>
      <c r="H36">
        <v>96</v>
      </c>
      <c r="I36">
        <v>92</v>
      </c>
      <c r="J36">
        <v>32</v>
      </c>
      <c r="K36">
        <v>52</v>
      </c>
      <c r="L36">
        <v>233</v>
      </c>
      <c r="M36" s="71">
        <v>0.31252708982996602</v>
      </c>
      <c r="N36">
        <v>233</v>
      </c>
      <c r="O36">
        <v>233</v>
      </c>
      <c r="R36">
        <v>21652</v>
      </c>
      <c r="S36" t="s">
        <v>1392</v>
      </c>
      <c r="T36" t="s">
        <v>1057</v>
      </c>
      <c r="U36">
        <v>0</v>
      </c>
      <c r="V36">
        <v>48</v>
      </c>
      <c r="W36">
        <v>0</v>
      </c>
      <c r="X36">
        <v>24</v>
      </c>
      <c r="Y36">
        <v>0</v>
      </c>
      <c r="Z36">
        <v>24</v>
      </c>
      <c r="AA36">
        <v>0</v>
      </c>
      <c r="AB36">
        <v>24</v>
      </c>
      <c r="AC36">
        <v>0</v>
      </c>
      <c r="AD36" t="e">
        <v>#DIV/0!</v>
      </c>
      <c r="AE36">
        <v>0</v>
      </c>
      <c r="AF36">
        <v>0</v>
      </c>
    </row>
    <row r="37" spans="1:32" x14ac:dyDescent="0.3">
      <c r="A37">
        <v>20759</v>
      </c>
      <c r="B37" t="s">
        <v>1259</v>
      </c>
      <c r="C37" t="s">
        <v>1038</v>
      </c>
      <c r="D37">
        <v>22</v>
      </c>
      <c r="E37">
        <v>70</v>
      </c>
      <c r="F37">
        <v>0</v>
      </c>
      <c r="G37">
        <v>24</v>
      </c>
      <c r="H37">
        <v>94</v>
      </c>
      <c r="I37">
        <v>138</v>
      </c>
      <c r="J37">
        <v>55</v>
      </c>
      <c r="K37">
        <v>75</v>
      </c>
      <c r="L37">
        <v>171</v>
      </c>
      <c r="M37" s="71">
        <v>0.42584100544083087</v>
      </c>
      <c r="N37">
        <v>171</v>
      </c>
      <c r="O37">
        <v>171</v>
      </c>
      <c r="R37">
        <v>21667</v>
      </c>
      <c r="S37" t="s">
        <v>1393</v>
      </c>
      <c r="T37" t="s">
        <v>1131</v>
      </c>
      <c r="U37">
        <v>0</v>
      </c>
      <c r="V37">
        <v>48</v>
      </c>
      <c r="W37">
        <v>0</v>
      </c>
      <c r="X37">
        <v>24</v>
      </c>
      <c r="Y37">
        <v>0</v>
      </c>
      <c r="Z37">
        <v>24</v>
      </c>
      <c r="AA37">
        <v>0</v>
      </c>
      <c r="AB37">
        <v>24</v>
      </c>
      <c r="AC37">
        <v>0</v>
      </c>
      <c r="AD37" t="e">
        <v>#DIV/0!</v>
      </c>
      <c r="AE37">
        <v>0</v>
      </c>
      <c r="AF37">
        <v>0</v>
      </c>
    </row>
    <row r="38" spans="1:32" x14ac:dyDescent="0.3">
      <c r="A38">
        <v>20762</v>
      </c>
      <c r="B38" t="s">
        <v>1334</v>
      </c>
      <c r="C38" t="s">
        <v>989</v>
      </c>
      <c r="D38">
        <v>0</v>
      </c>
      <c r="E38">
        <v>48</v>
      </c>
      <c r="F38">
        <v>0</v>
      </c>
      <c r="G38">
        <v>24</v>
      </c>
      <c r="H38">
        <v>0</v>
      </c>
      <c r="I38">
        <v>24</v>
      </c>
      <c r="J38">
        <v>16</v>
      </c>
      <c r="K38">
        <v>36</v>
      </c>
      <c r="L38">
        <v>16</v>
      </c>
      <c r="M38" s="71">
        <v>4.5511757456488802</v>
      </c>
      <c r="N38">
        <v>16</v>
      </c>
      <c r="O38">
        <v>16</v>
      </c>
      <c r="R38">
        <v>21669</v>
      </c>
      <c r="S38" t="s">
        <v>1342</v>
      </c>
      <c r="T38" t="s">
        <v>1097</v>
      </c>
      <c r="U38">
        <v>0</v>
      </c>
      <c r="V38">
        <v>48</v>
      </c>
      <c r="W38">
        <v>0</v>
      </c>
      <c r="X38">
        <v>24</v>
      </c>
      <c r="Y38">
        <v>0</v>
      </c>
      <c r="Z38">
        <v>24</v>
      </c>
      <c r="AA38">
        <v>0</v>
      </c>
      <c r="AB38">
        <v>24</v>
      </c>
      <c r="AC38">
        <v>0</v>
      </c>
      <c r="AD38" t="e">
        <v>#DIV/0!</v>
      </c>
      <c r="AE38">
        <v>0</v>
      </c>
      <c r="AF38">
        <v>0</v>
      </c>
    </row>
    <row r="39" spans="1:32" x14ac:dyDescent="0.3">
      <c r="A39">
        <v>20763</v>
      </c>
      <c r="B39" t="s">
        <v>1205</v>
      </c>
      <c r="C39" t="s">
        <v>1038</v>
      </c>
      <c r="D39">
        <v>160</v>
      </c>
      <c r="E39">
        <v>194</v>
      </c>
      <c r="F39">
        <v>0</v>
      </c>
      <c r="G39">
        <v>24</v>
      </c>
      <c r="H39">
        <v>0</v>
      </c>
      <c r="I39">
        <v>24</v>
      </c>
      <c r="J39">
        <v>0</v>
      </c>
      <c r="K39">
        <v>24</v>
      </c>
      <c r="L39">
        <v>160</v>
      </c>
      <c r="M39" s="71">
        <v>0.45511757456488799</v>
      </c>
      <c r="N39">
        <v>160</v>
      </c>
      <c r="O39">
        <v>160</v>
      </c>
      <c r="R39">
        <v>21675</v>
      </c>
      <c r="S39" t="s">
        <v>1394</v>
      </c>
      <c r="T39" t="s">
        <v>1097</v>
      </c>
      <c r="U39">
        <v>0</v>
      </c>
      <c r="V39">
        <v>48</v>
      </c>
      <c r="W39">
        <v>0</v>
      </c>
      <c r="X39">
        <v>24</v>
      </c>
      <c r="Y39">
        <v>0</v>
      </c>
      <c r="Z39">
        <v>24</v>
      </c>
      <c r="AA39">
        <v>0</v>
      </c>
      <c r="AB39">
        <v>24</v>
      </c>
      <c r="AC39">
        <v>0</v>
      </c>
      <c r="AD39" t="e">
        <v>#DIV/0!</v>
      </c>
      <c r="AE39">
        <v>0</v>
      </c>
      <c r="AF39">
        <v>0</v>
      </c>
    </row>
    <row r="40" spans="1:32" x14ac:dyDescent="0.3">
      <c r="A40">
        <v>20765</v>
      </c>
      <c r="B40" t="s">
        <v>1315</v>
      </c>
      <c r="C40" t="s">
        <v>996</v>
      </c>
      <c r="D40">
        <v>29</v>
      </c>
      <c r="E40">
        <v>69</v>
      </c>
      <c r="F40">
        <v>0</v>
      </c>
      <c r="G40">
        <v>24</v>
      </c>
      <c r="H40">
        <v>0</v>
      </c>
      <c r="I40">
        <v>24</v>
      </c>
      <c r="J40">
        <v>8</v>
      </c>
      <c r="K40">
        <v>25</v>
      </c>
      <c r="L40">
        <v>37</v>
      </c>
      <c r="M40" s="71">
        <v>1.9680759981184346</v>
      </c>
      <c r="N40">
        <v>37</v>
      </c>
      <c r="O40">
        <v>37</v>
      </c>
      <c r="R40">
        <v>21679</v>
      </c>
      <c r="S40" t="s">
        <v>1395</v>
      </c>
      <c r="T40" t="s">
        <v>1057</v>
      </c>
      <c r="U40">
        <v>0</v>
      </c>
      <c r="V40">
        <v>48</v>
      </c>
      <c r="W40">
        <v>0</v>
      </c>
      <c r="X40">
        <v>24</v>
      </c>
      <c r="Y40">
        <v>0</v>
      </c>
      <c r="Z40">
        <v>24</v>
      </c>
      <c r="AA40">
        <v>0</v>
      </c>
      <c r="AB40">
        <v>24</v>
      </c>
      <c r="AC40">
        <v>0</v>
      </c>
      <c r="AD40" t="e">
        <v>#DIV/0!</v>
      </c>
      <c r="AE40">
        <v>0</v>
      </c>
      <c r="AF40">
        <v>0</v>
      </c>
    </row>
    <row r="41" spans="1:32" x14ac:dyDescent="0.3">
      <c r="A41">
        <v>20776</v>
      </c>
      <c r="B41" t="s">
        <v>1215</v>
      </c>
      <c r="C41" t="s">
        <v>996</v>
      </c>
      <c r="D41">
        <v>65</v>
      </c>
      <c r="E41">
        <v>110</v>
      </c>
      <c r="F41">
        <v>13</v>
      </c>
      <c r="G41">
        <v>33</v>
      </c>
      <c r="H41">
        <v>16</v>
      </c>
      <c r="I41">
        <v>38</v>
      </c>
      <c r="J41">
        <v>0</v>
      </c>
      <c r="K41">
        <v>24</v>
      </c>
      <c r="L41">
        <v>94</v>
      </c>
      <c r="M41" s="71">
        <v>0.77466821202534131</v>
      </c>
      <c r="N41">
        <v>94</v>
      </c>
      <c r="O41">
        <v>94</v>
      </c>
      <c r="R41">
        <v>21705</v>
      </c>
      <c r="S41" t="s">
        <v>1027</v>
      </c>
      <c r="T41" t="s">
        <v>1027</v>
      </c>
      <c r="U41">
        <v>0</v>
      </c>
      <c r="V41">
        <v>48</v>
      </c>
      <c r="W41">
        <v>0</v>
      </c>
      <c r="X41">
        <v>24</v>
      </c>
      <c r="Y41">
        <v>0</v>
      </c>
      <c r="Z41">
        <v>24</v>
      </c>
      <c r="AA41">
        <v>0</v>
      </c>
      <c r="AB41">
        <v>24</v>
      </c>
      <c r="AC41">
        <v>0</v>
      </c>
      <c r="AD41" t="e">
        <v>#DIV/0!</v>
      </c>
      <c r="AE41">
        <v>0</v>
      </c>
      <c r="AF41">
        <v>0</v>
      </c>
    </row>
    <row r="42" spans="1:32" x14ac:dyDescent="0.3">
      <c r="A42">
        <v>20777</v>
      </c>
      <c r="B42" t="s">
        <v>1288</v>
      </c>
      <c r="C42" t="s">
        <v>1038</v>
      </c>
      <c r="D42">
        <v>0</v>
      </c>
      <c r="E42">
        <v>48</v>
      </c>
      <c r="F42">
        <v>0</v>
      </c>
      <c r="G42">
        <v>24</v>
      </c>
      <c r="H42">
        <v>0</v>
      </c>
      <c r="I42">
        <v>24</v>
      </c>
      <c r="J42">
        <v>63</v>
      </c>
      <c r="K42">
        <v>58</v>
      </c>
      <c r="L42">
        <v>63</v>
      </c>
      <c r="M42" s="71">
        <v>1.1558541576251125</v>
      </c>
      <c r="N42">
        <v>63</v>
      </c>
      <c r="O42">
        <v>63</v>
      </c>
      <c r="R42">
        <v>21714</v>
      </c>
      <c r="S42" t="s">
        <v>1396</v>
      </c>
      <c r="T42" t="s">
        <v>1027</v>
      </c>
      <c r="U42">
        <v>0</v>
      </c>
      <c r="V42">
        <v>48</v>
      </c>
      <c r="W42">
        <v>0</v>
      </c>
      <c r="X42">
        <v>24</v>
      </c>
      <c r="Y42">
        <v>0</v>
      </c>
      <c r="Z42">
        <v>24</v>
      </c>
      <c r="AA42">
        <v>0</v>
      </c>
      <c r="AB42">
        <v>24</v>
      </c>
      <c r="AC42">
        <v>0</v>
      </c>
      <c r="AD42" t="e">
        <v>#DIV/0!</v>
      </c>
      <c r="AE42">
        <v>0</v>
      </c>
      <c r="AF42">
        <v>0</v>
      </c>
    </row>
    <row r="43" spans="1:32" x14ac:dyDescent="0.3">
      <c r="A43">
        <v>20778</v>
      </c>
      <c r="B43" t="s">
        <v>1270</v>
      </c>
      <c r="C43" t="s">
        <v>996</v>
      </c>
      <c r="D43">
        <v>0</v>
      </c>
      <c r="E43">
        <v>48</v>
      </c>
      <c r="F43">
        <v>0</v>
      </c>
      <c r="G43">
        <v>24</v>
      </c>
      <c r="H43">
        <v>29</v>
      </c>
      <c r="I43">
        <v>46</v>
      </c>
      <c r="J43">
        <v>17</v>
      </c>
      <c r="K43">
        <v>40</v>
      </c>
      <c r="L43">
        <v>46</v>
      </c>
      <c r="M43" s="71">
        <v>1.5830176506604801</v>
      </c>
      <c r="N43">
        <v>46</v>
      </c>
      <c r="O43">
        <v>46</v>
      </c>
      <c r="R43">
        <v>21717</v>
      </c>
      <c r="S43" t="s">
        <v>1397</v>
      </c>
      <c r="T43" t="s">
        <v>1027</v>
      </c>
      <c r="U43">
        <v>0</v>
      </c>
      <c r="V43">
        <v>48</v>
      </c>
      <c r="W43">
        <v>0</v>
      </c>
      <c r="X43">
        <v>24</v>
      </c>
      <c r="Y43">
        <v>0</v>
      </c>
      <c r="Z43">
        <v>24</v>
      </c>
      <c r="AA43">
        <v>0</v>
      </c>
      <c r="AB43">
        <v>24</v>
      </c>
      <c r="AC43">
        <v>0</v>
      </c>
      <c r="AD43" t="e">
        <v>#DIV/0!</v>
      </c>
      <c r="AE43">
        <v>0</v>
      </c>
      <c r="AF43">
        <v>0</v>
      </c>
    </row>
    <row r="44" spans="1:32" x14ac:dyDescent="0.3">
      <c r="A44">
        <v>20779</v>
      </c>
      <c r="B44" t="s">
        <v>1319</v>
      </c>
      <c r="C44" t="s">
        <v>996</v>
      </c>
      <c r="D44">
        <v>21</v>
      </c>
      <c r="E44">
        <v>55</v>
      </c>
      <c r="F44">
        <v>0</v>
      </c>
      <c r="G44">
        <v>24</v>
      </c>
      <c r="H44">
        <v>0</v>
      </c>
      <c r="I44">
        <v>24</v>
      </c>
      <c r="J44">
        <v>14</v>
      </c>
      <c r="K44">
        <v>33</v>
      </c>
      <c r="L44">
        <v>35</v>
      </c>
      <c r="M44" s="71">
        <v>2.0805374837252022</v>
      </c>
      <c r="N44">
        <v>35</v>
      </c>
      <c r="O44">
        <v>35</v>
      </c>
      <c r="R44">
        <v>21718</v>
      </c>
      <c r="S44" t="s">
        <v>1363</v>
      </c>
      <c r="T44" t="s">
        <v>1027</v>
      </c>
      <c r="U44">
        <v>0</v>
      </c>
      <c r="V44">
        <v>48</v>
      </c>
      <c r="W44">
        <v>0</v>
      </c>
      <c r="X44">
        <v>24</v>
      </c>
      <c r="Y44">
        <v>0</v>
      </c>
      <c r="Z44">
        <v>24</v>
      </c>
      <c r="AA44">
        <v>0</v>
      </c>
      <c r="AB44">
        <v>24</v>
      </c>
      <c r="AC44">
        <v>0</v>
      </c>
      <c r="AD44" t="e">
        <v>#DIV/0!</v>
      </c>
      <c r="AE44">
        <v>0</v>
      </c>
      <c r="AF44">
        <v>0</v>
      </c>
    </row>
    <row r="45" spans="1:32" x14ac:dyDescent="0.3">
      <c r="A45">
        <v>20812</v>
      </c>
      <c r="B45" t="s">
        <v>1359</v>
      </c>
      <c r="C45" t="s">
        <v>991</v>
      </c>
      <c r="D45">
        <v>1</v>
      </c>
      <c r="E45">
        <v>40</v>
      </c>
      <c r="F45">
        <v>3</v>
      </c>
      <c r="G45">
        <v>17</v>
      </c>
      <c r="H45">
        <v>0</v>
      </c>
      <c r="I45">
        <v>24</v>
      </c>
      <c r="J45">
        <v>4</v>
      </c>
      <c r="K45">
        <v>17</v>
      </c>
      <c r="L45">
        <v>8</v>
      </c>
      <c r="M45" s="71">
        <v>9.1023514912977603</v>
      </c>
      <c r="N45">
        <v>8</v>
      </c>
      <c r="O45">
        <v>8</v>
      </c>
      <c r="R45">
        <v>21746</v>
      </c>
      <c r="S45" t="s">
        <v>998</v>
      </c>
      <c r="T45" t="s">
        <v>999</v>
      </c>
      <c r="U45">
        <v>0</v>
      </c>
      <c r="V45">
        <v>48</v>
      </c>
      <c r="W45">
        <v>0</v>
      </c>
      <c r="X45">
        <v>24</v>
      </c>
      <c r="Y45">
        <v>0</v>
      </c>
      <c r="Z45">
        <v>24</v>
      </c>
      <c r="AA45">
        <v>0</v>
      </c>
      <c r="AB45">
        <v>24</v>
      </c>
      <c r="AC45">
        <v>0</v>
      </c>
      <c r="AD45" t="e">
        <v>#DIV/0!</v>
      </c>
      <c r="AE45">
        <v>0</v>
      </c>
      <c r="AF45">
        <v>0</v>
      </c>
    </row>
    <row r="46" spans="1:32" x14ac:dyDescent="0.3">
      <c r="A46">
        <v>20816</v>
      </c>
      <c r="B46" t="s">
        <v>1087</v>
      </c>
      <c r="C46" t="s">
        <v>991</v>
      </c>
      <c r="D46">
        <v>10</v>
      </c>
      <c r="E46">
        <v>72</v>
      </c>
      <c r="F46">
        <v>5</v>
      </c>
      <c r="G46">
        <v>29</v>
      </c>
      <c r="H46">
        <v>89</v>
      </c>
      <c r="I46">
        <v>80</v>
      </c>
      <c r="J46">
        <v>56</v>
      </c>
      <c r="K46">
        <v>57</v>
      </c>
      <c r="L46">
        <v>160</v>
      </c>
      <c r="M46" s="71">
        <v>0.45511757456488799</v>
      </c>
      <c r="N46">
        <v>160</v>
      </c>
      <c r="O46">
        <v>160</v>
      </c>
      <c r="R46">
        <v>21762</v>
      </c>
      <c r="S46" t="s">
        <v>1398</v>
      </c>
      <c r="T46" t="s">
        <v>1027</v>
      </c>
      <c r="U46">
        <v>0</v>
      </c>
      <c r="V46">
        <v>48</v>
      </c>
      <c r="W46">
        <v>0</v>
      </c>
      <c r="X46">
        <v>24</v>
      </c>
      <c r="Y46">
        <v>0</v>
      </c>
      <c r="Z46">
        <v>24</v>
      </c>
      <c r="AA46">
        <v>0</v>
      </c>
      <c r="AB46">
        <v>24</v>
      </c>
      <c r="AC46">
        <v>0</v>
      </c>
      <c r="AD46" t="e">
        <v>#DIV/0!</v>
      </c>
      <c r="AE46">
        <v>0</v>
      </c>
      <c r="AF46">
        <v>0</v>
      </c>
    </row>
    <row r="47" spans="1:32" x14ac:dyDescent="0.3">
      <c r="A47">
        <v>20818</v>
      </c>
      <c r="B47" t="s">
        <v>1298</v>
      </c>
      <c r="C47" t="s">
        <v>991</v>
      </c>
      <c r="D47">
        <v>17</v>
      </c>
      <c r="E47">
        <v>62</v>
      </c>
      <c r="F47">
        <v>0</v>
      </c>
      <c r="G47">
        <v>24</v>
      </c>
      <c r="H47">
        <v>10</v>
      </c>
      <c r="I47">
        <v>31</v>
      </c>
      <c r="J47">
        <v>17</v>
      </c>
      <c r="K47">
        <v>39</v>
      </c>
      <c r="L47">
        <v>44</v>
      </c>
      <c r="M47" s="71">
        <v>1.6549729984177746</v>
      </c>
      <c r="N47">
        <v>44</v>
      </c>
      <c r="O47">
        <v>44</v>
      </c>
      <c r="R47">
        <v>21779</v>
      </c>
      <c r="S47" t="s">
        <v>1353</v>
      </c>
      <c r="T47" t="s">
        <v>999</v>
      </c>
      <c r="U47">
        <v>0</v>
      </c>
      <c r="V47">
        <v>48</v>
      </c>
      <c r="W47">
        <v>0</v>
      </c>
      <c r="X47">
        <v>24</v>
      </c>
      <c r="Y47">
        <v>0</v>
      </c>
      <c r="Z47">
        <v>24</v>
      </c>
      <c r="AA47">
        <v>0</v>
      </c>
      <c r="AB47">
        <v>24</v>
      </c>
      <c r="AC47">
        <v>0</v>
      </c>
      <c r="AD47" t="e">
        <v>#DIV/0!</v>
      </c>
      <c r="AE47">
        <v>0</v>
      </c>
      <c r="AF47">
        <v>0</v>
      </c>
    </row>
    <row r="48" spans="1:32" x14ac:dyDescent="0.3">
      <c r="A48">
        <v>20837</v>
      </c>
      <c r="B48" t="s">
        <v>1189</v>
      </c>
      <c r="C48" t="s">
        <v>991</v>
      </c>
      <c r="D48">
        <v>24</v>
      </c>
      <c r="E48">
        <v>85</v>
      </c>
      <c r="F48">
        <v>15</v>
      </c>
      <c r="G48">
        <v>41</v>
      </c>
      <c r="H48">
        <v>97</v>
      </c>
      <c r="I48">
        <v>98</v>
      </c>
      <c r="J48">
        <v>58</v>
      </c>
      <c r="K48">
        <v>85</v>
      </c>
      <c r="L48">
        <v>194</v>
      </c>
      <c r="M48" s="71">
        <v>0.37535470067207261</v>
      </c>
      <c r="N48">
        <v>194</v>
      </c>
      <c r="O48">
        <v>194</v>
      </c>
      <c r="R48">
        <v>21781</v>
      </c>
      <c r="S48" t="s">
        <v>1399</v>
      </c>
      <c r="T48" t="s">
        <v>999</v>
      </c>
      <c r="U48">
        <v>0</v>
      </c>
      <c r="V48">
        <v>48</v>
      </c>
      <c r="W48">
        <v>0</v>
      </c>
      <c r="X48">
        <v>24</v>
      </c>
      <c r="Y48">
        <v>0</v>
      </c>
      <c r="Z48">
        <v>24</v>
      </c>
      <c r="AA48">
        <v>0</v>
      </c>
      <c r="AB48">
        <v>24</v>
      </c>
      <c r="AC48">
        <v>0</v>
      </c>
      <c r="AD48" t="e">
        <v>#DIV/0!</v>
      </c>
      <c r="AE48">
        <v>0</v>
      </c>
      <c r="AF48">
        <v>0</v>
      </c>
    </row>
    <row r="49" spans="1:32" x14ac:dyDescent="0.3">
      <c r="A49">
        <v>20838</v>
      </c>
      <c r="B49" t="s">
        <v>1369</v>
      </c>
      <c r="C49" t="s">
        <v>991</v>
      </c>
      <c r="D49">
        <v>4</v>
      </c>
      <c r="E49">
        <v>41</v>
      </c>
      <c r="F49">
        <v>0</v>
      </c>
      <c r="G49">
        <v>24</v>
      </c>
      <c r="H49">
        <v>0</v>
      </c>
      <c r="I49">
        <v>24</v>
      </c>
      <c r="J49">
        <v>2</v>
      </c>
      <c r="K49">
        <v>15</v>
      </c>
      <c r="L49">
        <v>6</v>
      </c>
      <c r="M49" s="71">
        <v>12.13646865506368</v>
      </c>
      <c r="N49">
        <v>6</v>
      </c>
      <c r="O49">
        <v>6</v>
      </c>
      <c r="R49">
        <v>21790</v>
      </c>
      <c r="S49" t="s">
        <v>1400</v>
      </c>
      <c r="T49" t="s">
        <v>1027</v>
      </c>
      <c r="U49">
        <v>0</v>
      </c>
      <c r="V49">
        <v>48</v>
      </c>
      <c r="W49">
        <v>0</v>
      </c>
      <c r="X49">
        <v>24</v>
      </c>
      <c r="Y49">
        <v>0</v>
      </c>
      <c r="Z49">
        <v>24</v>
      </c>
      <c r="AA49">
        <v>0</v>
      </c>
      <c r="AB49">
        <v>24</v>
      </c>
      <c r="AC49">
        <v>0</v>
      </c>
      <c r="AD49" t="e">
        <v>#DIV/0!</v>
      </c>
      <c r="AE49">
        <v>0</v>
      </c>
      <c r="AF49">
        <v>0</v>
      </c>
    </row>
    <row r="50" spans="1:32" x14ac:dyDescent="0.3">
      <c r="A50">
        <v>20839</v>
      </c>
      <c r="B50" t="s">
        <v>1367</v>
      </c>
      <c r="C50" t="s">
        <v>991</v>
      </c>
      <c r="D50">
        <v>3</v>
      </c>
      <c r="E50">
        <v>42</v>
      </c>
      <c r="F50">
        <v>0</v>
      </c>
      <c r="G50">
        <v>24</v>
      </c>
      <c r="H50">
        <v>0</v>
      </c>
      <c r="I50">
        <v>24</v>
      </c>
      <c r="J50">
        <v>0</v>
      </c>
      <c r="K50">
        <v>24</v>
      </c>
      <c r="L50">
        <v>3</v>
      </c>
      <c r="M50" s="71">
        <v>24.272937310127361</v>
      </c>
      <c r="N50">
        <v>3</v>
      </c>
      <c r="O50">
        <v>3</v>
      </c>
      <c r="R50">
        <v>21824</v>
      </c>
      <c r="S50" t="s">
        <v>1332</v>
      </c>
      <c r="T50" t="s">
        <v>1108</v>
      </c>
      <c r="U50">
        <v>0</v>
      </c>
      <c r="V50">
        <v>48</v>
      </c>
      <c r="W50">
        <v>0</v>
      </c>
      <c r="X50">
        <v>24</v>
      </c>
      <c r="Y50">
        <v>0</v>
      </c>
      <c r="Z50">
        <v>24</v>
      </c>
      <c r="AA50">
        <v>0</v>
      </c>
      <c r="AB50">
        <v>24</v>
      </c>
      <c r="AC50">
        <v>0</v>
      </c>
      <c r="AD50" t="e">
        <v>#DIV/0!</v>
      </c>
      <c r="AE50">
        <v>0</v>
      </c>
      <c r="AF50">
        <v>0</v>
      </c>
    </row>
    <row r="51" spans="1:32" x14ac:dyDescent="0.3">
      <c r="A51">
        <v>20842</v>
      </c>
      <c r="B51" t="s">
        <v>1238</v>
      </c>
      <c r="C51" t="s">
        <v>991</v>
      </c>
      <c r="D51">
        <v>13</v>
      </c>
      <c r="E51">
        <v>42</v>
      </c>
      <c r="F51">
        <v>20</v>
      </c>
      <c r="G51">
        <v>37</v>
      </c>
      <c r="H51">
        <v>26</v>
      </c>
      <c r="I51">
        <v>35</v>
      </c>
      <c r="J51">
        <v>50</v>
      </c>
      <c r="K51">
        <v>58</v>
      </c>
      <c r="L51">
        <v>109</v>
      </c>
      <c r="M51" s="71">
        <v>0.66806249477414759</v>
      </c>
      <c r="N51">
        <v>109</v>
      </c>
      <c r="O51">
        <v>109</v>
      </c>
      <c r="R51">
        <v>21840</v>
      </c>
      <c r="S51" t="s">
        <v>1401</v>
      </c>
      <c r="T51" t="s">
        <v>1021</v>
      </c>
      <c r="U51">
        <v>0</v>
      </c>
      <c r="V51">
        <v>48</v>
      </c>
      <c r="W51">
        <v>0</v>
      </c>
      <c r="X51">
        <v>24</v>
      </c>
      <c r="Y51">
        <v>0</v>
      </c>
      <c r="Z51">
        <v>24</v>
      </c>
      <c r="AA51">
        <v>0</v>
      </c>
      <c r="AB51">
        <v>24</v>
      </c>
      <c r="AC51">
        <v>0</v>
      </c>
      <c r="AD51" t="e">
        <v>#DIV/0!</v>
      </c>
      <c r="AE51">
        <v>0</v>
      </c>
      <c r="AF51">
        <v>0</v>
      </c>
    </row>
    <row r="52" spans="1:32" x14ac:dyDescent="0.3">
      <c r="A52">
        <v>20860</v>
      </c>
      <c r="B52" t="s">
        <v>1176</v>
      </c>
      <c r="C52" t="s">
        <v>991</v>
      </c>
      <c r="D52">
        <v>6</v>
      </c>
      <c r="E52">
        <v>49</v>
      </c>
      <c r="F52">
        <v>0</v>
      </c>
      <c r="G52">
        <v>24</v>
      </c>
      <c r="H52">
        <v>0</v>
      </c>
      <c r="I52">
        <v>24</v>
      </c>
      <c r="J52">
        <v>142</v>
      </c>
      <c r="K52">
        <v>189</v>
      </c>
      <c r="L52">
        <v>148</v>
      </c>
      <c r="M52" s="71">
        <v>0.49201899952960865</v>
      </c>
      <c r="N52">
        <v>148</v>
      </c>
      <c r="O52">
        <v>148</v>
      </c>
      <c r="R52">
        <v>21866</v>
      </c>
      <c r="S52" t="s">
        <v>1402</v>
      </c>
      <c r="T52" t="s">
        <v>1108</v>
      </c>
      <c r="U52">
        <v>0</v>
      </c>
      <c r="V52">
        <v>48</v>
      </c>
      <c r="W52">
        <v>0</v>
      </c>
      <c r="X52">
        <v>24</v>
      </c>
      <c r="Y52">
        <v>0</v>
      </c>
      <c r="Z52">
        <v>24</v>
      </c>
      <c r="AA52">
        <v>0</v>
      </c>
      <c r="AB52">
        <v>24</v>
      </c>
      <c r="AC52">
        <v>0</v>
      </c>
      <c r="AD52" t="e">
        <v>#DIV/0!</v>
      </c>
      <c r="AE52">
        <v>0</v>
      </c>
      <c r="AF52">
        <v>0</v>
      </c>
    </row>
    <row r="53" spans="1:32" x14ac:dyDescent="0.3">
      <c r="A53">
        <v>20861</v>
      </c>
      <c r="B53" t="s">
        <v>1291</v>
      </c>
      <c r="C53" t="s">
        <v>991</v>
      </c>
      <c r="D53">
        <v>0</v>
      </c>
      <c r="E53">
        <v>48</v>
      </c>
      <c r="F53">
        <v>0</v>
      </c>
      <c r="G53">
        <v>24</v>
      </c>
      <c r="H53">
        <v>0</v>
      </c>
      <c r="I53">
        <v>24</v>
      </c>
      <c r="J53">
        <v>53</v>
      </c>
      <c r="K53">
        <v>69</v>
      </c>
      <c r="L53">
        <v>53</v>
      </c>
      <c r="M53" s="71">
        <v>1.3739398477430582</v>
      </c>
      <c r="N53">
        <v>53</v>
      </c>
      <c r="O53">
        <v>53</v>
      </c>
      <c r="R53">
        <v>21867</v>
      </c>
      <c r="S53" t="s">
        <v>1403</v>
      </c>
      <c r="T53" t="s">
        <v>1108</v>
      </c>
      <c r="U53">
        <v>0</v>
      </c>
      <c r="V53">
        <v>48</v>
      </c>
      <c r="W53">
        <v>0</v>
      </c>
      <c r="X53">
        <v>24</v>
      </c>
      <c r="Y53">
        <v>0</v>
      </c>
      <c r="Z53">
        <v>24</v>
      </c>
      <c r="AA53">
        <v>0</v>
      </c>
      <c r="AB53">
        <v>24</v>
      </c>
      <c r="AC53">
        <v>0</v>
      </c>
      <c r="AD53" t="e">
        <v>#DIV/0!</v>
      </c>
      <c r="AE53">
        <v>0</v>
      </c>
      <c r="AF53">
        <v>0</v>
      </c>
    </row>
    <row r="54" spans="1:32" x14ac:dyDescent="0.3">
      <c r="A54">
        <v>20868</v>
      </c>
      <c r="B54" t="s">
        <v>1305</v>
      </c>
      <c r="C54" t="s">
        <v>991</v>
      </c>
      <c r="D54">
        <v>0</v>
      </c>
      <c r="E54">
        <v>48</v>
      </c>
      <c r="F54">
        <v>0</v>
      </c>
      <c r="G54">
        <v>24</v>
      </c>
      <c r="H54">
        <v>30</v>
      </c>
      <c r="I54">
        <v>59</v>
      </c>
      <c r="J54">
        <v>20</v>
      </c>
      <c r="K54">
        <v>45</v>
      </c>
      <c r="L54">
        <v>50</v>
      </c>
      <c r="M54" s="71">
        <v>1.4563762386076418</v>
      </c>
      <c r="N54">
        <v>50</v>
      </c>
      <c r="O54">
        <v>50</v>
      </c>
      <c r="R54">
        <v>21890</v>
      </c>
      <c r="S54" t="s">
        <v>1191</v>
      </c>
      <c r="T54" t="s">
        <v>1108</v>
      </c>
      <c r="U54">
        <v>0</v>
      </c>
      <c r="V54">
        <v>48</v>
      </c>
      <c r="W54">
        <v>0</v>
      </c>
      <c r="X54">
        <v>24</v>
      </c>
      <c r="Y54">
        <v>0</v>
      </c>
      <c r="Z54">
        <v>24</v>
      </c>
      <c r="AA54">
        <v>0</v>
      </c>
      <c r="AB54">
        <v>24</v>
      </c>
      <c r="AC54">
        <v>0</v>
      </c>
      <c r="AD54" t="e">
        <v>#DIV/0!</v>
      </c>
      <c r="AE54">
        <v>0</v>
      </c>
      <c r="AF54">
        <v>0</v>
      </c>
    </row>
    <row r="55" spans="1:32" x14ac:dyDescent="0.3">
      <c r="A55">
        <v>20880</v>
      </c>
      <c r="B55" t="s">
        <v>1361</v>
      </c>
      <c r="C55" t="s">
        <v>991</v>
      </c>
      <c r="D55">
        <v>0</v>
      </c>
      <c r="E55">
        <v>48</v>
      </c>
      <c r="F55">
        <v>0</v>
      </c>
      <c r="G55">
        <v>24</v>
      </c>
      <c r="H55">
        <v>3</v>
      </c>
      <c r="I55">
        <v>17</v>
      </c>
      <c r="J55">
        <v>7</v>
      </c>
      <c r="K55">
        <v>10</v>
      </c>
      <c r="L55">
        <v>10</v>
      </c>
      <c r="M55" s="71">
        <v>7.2818811930382079</v>
      </c>
      <c r="N55">
        <v>10</v>
      </c>
      <c r="O55">
        <v>10</v>
      </c>
      <c r="R55">
        <v>21916</v>
      </c>
      <c r="S55" t="s">
        <v>1404</v>
      </c>
      <c r="T55" t="s">
        <v>1017</v>
      </c>
      <c r="U55">
        <v>0</v>
      </c>
      <c r="V55">
        <v>48</v>
      </c>
      <c r="W55">
        <v>0</v>
      </c>
      <c r="X55">
        <v>24</v>
      </c>
      <c r="Y55">
        <v>0</v>
      </c>
      <c r="Z55">
        <v>24</v>
      </c>
      <c r="AA55">
        <v>0</v>
      </c>
      <c r="AB55">
        <v>24</v>
      </c>
      <c r="AC55">
        <v>0</v>
      </c>
      <c r="AD55" t="e">
        <v>#DIV/0!</v>
      </c>
      <c r="AE55">
        <v>0</v>
      </c>
      <c r="AF55">
        <v>0</v>
      </c>
    </row>
    <row r="56" spans="1:32" x14ac:dyDescent="0.3">
      <c r="A56">
        <v>20896</v>
      </c>
      <c r="B56" t="s">
        <v>1343</v>
      </c>
      <c r="C56" t="s">
        <v>991</v>
      </c>
      <c r="D56">
        <v>3</v>
      </c>
      <c r="E56">
        <v>40</v>
      </c>
      <c r="F56">
        <v>0</v>
      </c>
      <c r="G56">
        <v>24</v>
      </c>
      <c r="H56">
        <v>0</v>
      </c>
      <c r="I56">
        <v>24</v>
      </c>
      <c r="J56">
        <v>8</v>
      </c>
      <c r="K56">
        <v>10</v>
      </c>
      <c r="L56">
        <v>11</v>
      </c>
      <c r="M56" s="71">
        <v>6.6198919936710983</v>
      </c>
      <c r="N56">
        <v>11</v>
      </c>
      <c r="O56">
        <v>11</v>
      </c>
    </row>
    <row r="57" spans="1:32" x14ac:dyDescent="0.3">
      <c r="A57">
        <v>20899</v>
      </c>
      <c r="B57" t="s">
        <v>994</v>
      </c>
      <c r="C57" t="s">
        <v>991</v>
      </c>
      <c r="D57">
        <v>21</v>
      </c>
      <c r="E57">
        <v>70</v>
      </c>
      <c r="F57">
        <v>20</v>
      </c>
      <c r="G57">
        <v>45</v>
      </c>
      <c r="H57">
        <v>0</v>
      </c>
      <c r="I57">
        <v>24</v>
      </c>
      <c r="J57">
        <v>0</v>
      </c>
      <c r="K57">
        <v>24</v>
      </c>
      <c r="L57">
        <v>41</v>
      </c>
      <c r="M57" s="71">
        <v>1.7760685836678556</v>
      </c>
      <c r="N57">
        <v>41</v>
      </c>
      <c r="O57">
        <v>41</v>
      </c>
    </row>
    <row r="58" spans="1:32" x14ac:dyDescent="0.3">
      <c r="A58">
        <v>21005</v>
      </c>
      <c r="B58" t="s">
        <v>1368</v>
      </c>
      <c r="C58" t="s">
        <v>1045</v>
      </c>
      <c r="D58">
        <v>1</v>
      </c>
      <c r="E58">
        <v>53</v>
      </c>
      <c r="F58">
        <v>0</v>
      </c>
      <c r="G58">
        <v>24</v>
      </c>
      <c r="H58">
        <v>0</v>
      </c>
      <c r="I58">
        <v>24</v>
      </c>
      <c r="J58">
        <v>11</v>
      </c>
      <c r="K58">
        <v>30</v>
      </c>
      <c r="L58">
        <v>12</v>
      </c>
      <c r="M58" s="71">
        <v>6.0682343275318402</v>
      </c>
      <c r="N58">
        <v>12</v>
      </c>
      <c r="O58">
        <v>12</v>
      </c>
    </row>
    <row r="59" spans="1:32" x14ac:dyDescent="0.3">
      <c r="A59">
        <v>21013</v>
      </c>
      <c r="B59" t="s">
        <v>1330</v>
      </c>
      <c r="C59" t="s">
        <v>992</v>
      </c>
      <c r="D59">
        <v>0</v>
      </c>
      <c r="E59">
        <v>48</v>
      </c>
      <c r="F59">
        <v>0</v>
      </c>
      <c r="G59">
        <v>24</v>
      </c>
      <c r="H59">
        <v>35</v>
      </c>
      <c r="I59">
        <v>65</v>
      </c>
      <c r="J59">
        <v>8</v>
      </c>
      <c r="K59">
        <v>26</v>
      </c>
      <c r="L59">
        <v>43</v>
      </c>
      <c r="M59" s="71">
        <v>1.6934607425670252</v>
      </c>
      <c r="N59">
        <v>43</v>
      </c>
      <c r="O59">
        <v>43</v>
      </c>
    </row>
    <row r="60" spans="1:32" x14ac:dyDescent="0.3">
      <c r="A60">
        <v>21028</v>
      </c>
      <c r="B60" t="s">
        <v>1260</v>
      </c>
      <c r="C60" t="s">
        <v>1045</v>
      </c>
      <c r="D60">
        <v>5</v>
      </c>
      <c r="E60">
        <v>43</v>
      </c>
      <c r="F60">
        <v>10</v>
      </c>
      <c r="G60">
        <v>28</v>
      </c>
      <c r="H60">
        <v>11</v>
      </c>
      <c r="I60">
        <v>26</v>
      </c>
      <c r="J60">
        <v>30</v>
      </c>
      <c r="K60">
        <v>38</v>
      </c>
      <c r="L60">
        <v>56</v>
      </c>
      <c r="M60" s="71">
        <v>1.3003359273282515</v>
      </c>
      <c r="N60">
        <v>56</v>
      </c>
      <c r="O60">
        <v>56</v>
      </c>
    </row>
    <row r="61" spans="1:32" x14ac:dyDescent="0.3">
      <c r="A61">
        <v>21034</v>
      </c>
      <c r="B61" t="s">
        <v>1201</v>
      </c>
      <c r="C61" t="s">
        <v>1045</v>
      </c>
      <c r="D61">
        <v>64</v>
      </c>
      <c r="E61">
        <v>86</v>
      </c>
      <c r="F61">
        <v>0</v>
      </c>
      <c r="G61">
        <v>24</v>
      </c>
      <c r="H61">
        <v>60</v>
      </c>
      <c r="I61">
        <v>68</v>
      </c>
      <c r="J61">
        <v>87</v>
      </c>
      <c r="K61">
        <v>71</v>
      </c>
      <c r="L61">
        <v>211</v>
      </c>
      <c r="M61" s="71">
        <v>0.34511285275062598</v>
      </c>
      <c r="N61">
        <v>211</v>
      </c>
      <c r="O61">
        <v>211</v>
      </c>
    </row>
    <row r="62" spans="1:32" x14ac:dyDescent="0.3">
      <c r="A62">
        <v>21035</v>
      </c>
      <c r="B62" t="s">
        <v>1237</v>
      </c>
      <c r="C62" t="s">
        <v>996</v>
      </c>
      <c r="D62">
        <v>17</v>
      </c>
      <c r="E62">
        <v>79</v>
      </c>
      <c r="F62">
        <v>10</v>
      </c>
      <c r="G62">
        <v>32</v>
      </c>
      <c r="H62">
        <v>15</v>
      </c>
      <c r="I62">
        <v>40</v>
      </c>
      <c r="J62">
        <v>29</v>
      </c>
      <c r="K62">
        <v>43</v>
      </c>
      <c r="L62">
        <v>71</v>
      </c>
      <c r="M62" s="71">
        <v>1.0256170694420013</v>
      </c>
      <c r="N62">
        <v>71</v>
      </c>
      <c r="O62">
        <v>71</v>
      </c>
    </row>
    <row r="63" spans="1:32" x14ac:dyDescent="0.3">
      <c r="A63">
        <v>21036</v>
      </c>
      <c r="B63" t="s">
        <v>1316</v>
      </c>
      <c r="C63" t="s">
        <v>1038</v>
      </c>
      <c r="D63">
        <v>0</v>
      </c>
      <c r="E63">
        <v>48</v>
      </c>
      <c r="F63">
        <v>0</v>
      </c>
      <c r="G63">
        <v>24</v>
      </c>
      <c r="H63">
        <v>10</v>
      </c>
      <c r="I63">
        <v>29</v>
      </c>
      <c r="J63">
        <v>16</v>
      </c>
      <c r="K63">
        <v>37</v>
      </c>
      <c r="L63">
        <v>26</v>
      </c>
      <c r="M63" s="71">
        <v>2.8007235357839262</v>
      </c>
      <c r="N63">
        <v>26</v>
      </c>
      <c r="O63">
        <v>26</v>
      </c>
    </row>
    <row r="64" spans="1:32" x14ac:dyDescent="0.3">
      <c r="A64">
        <v>21052</v>
      </c>
      <c r="B64" t="s">
        <v>1265</v>
      </c>
      <c r="C64" t="s">
        <v>992</v>
      </c>
      <c r="D64">
        <v>0</v>
      </c>
      <c r="E64">
        <v>48</v>
      </c>
      <c r="F64">
        <v>69</v>
      </c>
      <c r="G64">
        <v>111</v>
      </c>
      <c r="H64">
        <v>0</v>
      </c>
      <c r="I64">
        <v>24</v>
      </c>
      <c r="J64">
        <v>16</v>
      </c>
      <c r="K64">
        <v>36</v>
      </c>
      <c r="L64">
        <v>85</v>
      </c>
      <c r="M64" s="71">
        <v>0.8566919050633186</v>
      </c>
      <c r="N64">
        <v>85</v>
      </c>
      <c r="O64">
        <v>85</v>
      </c>
    </row>
    <row r="65" spans="1:15" x14ac:dyDescent="0.3">
      <c r="A65">
        <v>21057</v>
      </c>
      <c r="B65" t="s">
        <v>1280</v>
      </c>
      <c r="C65" t="s">
        <v>992</v>
      </c>
      <c r="D65">
        <v>10</v>
      </c>
      <c r="E65">
        <v>53</v>
      </c>
      <c r="F65">
        <v>0</v>
      </c>
      <c r="G65">
        <v>24</v>
      </c>
      <c r="H65">
        <v>0</v>
      </c>
      <c r="I65">
        <v>24</v>
      </c>
      <c r="J65">
        <v>45</v>
      </c>
      <c r="K65">
        <v>51</v>
      </c>
      <c r="L65">
        <v>55</v>
      </c>
      <c r="M65" s="71">
        <v>1.3239783987342197</v>
      </c>
      <c r="N65">
        <v>55</v>
      </c>
      <c r="O65">
        <v>55</v>
      </c>
    </row>
    <row r="66" spans="1:15" x14ac:dyDescent="0.3">
      <c r="A66">
        <v>21077</v>
      </c>
      <c r="B66" t="s">
        <v>1345</v>
      </c>
      <c r="C66" t="s">
        <v>996</v>
      </c>
      <c r="D66">
        <v>0</v>
      </c>
      <c r="E66">
        <v>48</v>
      </c>
      <c r="F66">
        <v>0</v>
      </c>
      <c r="G66">
        <v>24</v>
      </c>
      <c r="H66">
        <v>0</v>
      </c>
      <c r="I66">
        <v>24</v>
      </c>
      <c r="J66">
        <v>14</v>
      </c>
      <c r="K66">
        <v>36</v>
      </c>
      <c r="L66">
        <v>14</v>
      </c>
      <c r="M66" s="71">
        <v>5.2013437093130062</v>
      </c>
      <c r="N66">
        <v>14</v>
      </c>
      <c r="O66">
        <v>14</v>
      </c>
    </row>
    <row r="67" spans="1:15" x14ac:dyDescent="0.3">
      <c r="A67">
        <v>21087</v>
      </c>
      <c r="B67" t="s">
        <v>1169</v>
      </c>
      <c r="C67" t="s">
        <v>992</v>
      </c>
      <c r="D67">
        <v>18</v>
      </c>
      <c r="E67">
        <v>61</v>
      </c>
      <c r="F67">
        <v>14</v>
      </c>
      <c r="G67">
        <v>38</v>
      </c>
      <c r="H67">
        <v>24</v>
      </c>
      <c r="I67">
        <v>40</v>
      </c>
      <c r="J67">
        <v>131</v>
      </c>
      <c r="K67">
        <v>88</v>
      </c>
      <c r="L67">
        <v>187</v>
      </c>
      <c r="M67" s="71">
        <v>0.38940541139241758</v>
      </c>
      <c r="N67">
        <v>187</v>
      </c>
      <c r="O67">
        <v>187</v>
      </c>
    </row>
    <row r="68" spans="1:15" x14ac:dyDescent="0.3">
      <c r="A68">
        <v>21102</v>
      </c>
      <c r="B68" t="s">
        <v>1190</v>
      </c>
      <c r="C68" t="s">
        <v>1041</v>
      </c>
      <c r="D68">
        <v>42</v>
      </c>
      <c r="E68">
        <v>100</v>
      </c>
      <c r="F68">
        <v>0</v>
      </c>
      <c r="G68">
        <v>38</v>
      </c>
      <c r="H68">
        <v>106</v>
      </c>
      <c r="I68">
        <v>70</v>
      </c>
      <c r="J68">
        <v>72</v>
      </c>
      <c r="K68">
        <v>75</v>
      </c>
      <c r="L68">
        <v>220</v>
      </c>
      <c r="M68" s="71">
        <v>0.33099459968355494</v>
      </c>
      <c r="N68">
        <v>220</v>
      </c>
      <c r="O68">
        <v>220</v>
      </c>
    </row>
    <row r="69" spans="1:15" x14ac:dyDescent="0.3">
      <c r="A69">
        <v>21104</v>
      </c>
      <c r="B69" t="s">
        <v>1263</v>
      </c>
      <c r="C69" t="s">
        <v>1041</v>
      </c>
      <c r="D69">
        <v>0</v>
      </c>
      <c r="E69">
        <v>48</v>
      </c>
      <c r="F69">
        <v>7</v>
      </c>
      <c r="G69">
        <v>24</v>
      </c>
      <c r="H69">
        <v>50</v>
      </c>
      <c r="I69">
        <v>74</v>
      </c>
      <c r="J69">
        <v>44</v>
      </c>
      <c r="K69">
        <v>65</v>
      </c>
      <c r="L69">
        <v>101</v>
      </c>
      <c r="M69" s="71">
        <v>0.7209783359443771</v>
      </c>
      <c r="N69">
        <v>101</v>
      </c>
      <c r="O69">
        <v>101</v>
      </c>
    </row>
    <row r="70" spans="1:15" x14ac:dyDescent="0.3">
      <c r="A70">
        <v>21111</v>
      </c>
      <c r="B70" t="s">
        <v>1252</v>
      </c>
      <c r="C70" t="s">
        <v>992</v>
      </c>
      <c r="D70">
        <v>0</v>
      </c>
      <c r="E70">
        <v>48</v>
      </c>
      <c r="F70">
        <v>19</v>
      </c>
      <c r="G70">
        <v>43</v>
      </c>
      <c r="H70">
        <v>18</v>
      </c>
      <c r="I70">
        <v>32</v>
      </c>
      <c r="J70">
        <v>43</v>
      </c>
      <c r="K70">
        <v>57</v>
      </c>
      <c r="L70">
        <v>80</v>
      </c>
      <c r="M70" s="71">
        <v>0.91023514912977599</v>
      </c>
      <c r="N70">
        <v>80</v>
      </c>
      <c r="O70">
        <v>80</v>
      </c>
    </row>
    <row r="71" spans="1:15" x14ac:dyDescent="0.3">
      <c r="A71">
        <v>21120</v>
      </c>
      <c r="B71" t="s">
        <v>1242</v>
      </c>
      <c r="C71" t="s">
        <v>992</v>
      </c>
      <c r="D71">
        <v>0</v>
      </c>
      <c r="E71">
        <v>68</v>
      </c>
      <c r="F71">
        <v>0</v>
      </c>
      <c r="G71">
        <v>34</v>
      </c>
      <c r="H71">
        <v>53</v>
      </c>
      <c r="I71">
        <v>55</v>
      </c>
      <c r="J71">
        <v>80</v>
      </c>
      <c r="K71">
        <v>72</v>
      </c>
      <c r="L71">
        <v>133</v>
      </c>
      <c r="M71" s="71">
        <v>0.54750986413821112</v>
      </c>
      <c r="N71">
        <v>133</v>
      </c>
      <c r="O71">
        <v>133</v>
      </c>
    </row>
    <row r="72" spans="1:15" x14ac:dyDescent="0.3">
      <c r="A72">
        <v>21128</v>
      </c>
      <c r="B72" t="s">
        <v>1182</v>
      </c>
      <c r="C72" t="s">
        <v>992</v>
      </c>
      <c r="D72">
        <v>64</v>
      </c>
      <c r="E72">
        <v>107</v>
      </c>
      <c r="F72">
        <v>0</v>
      </c>
      <c r="G72">
        <v>38</v>
      </c>
      <c r="H72">
        <v>38</v>
      </c>
      <c r="I72">
        <v>55</v>
      </c>
      <c r="J72">
        <v>76</v>
      </c>
      <c r="K72">
        <v>74</v>
      </c>
      <c r="L72">
        <v>178</v>
      </c>
      <c r="M72" s="71">
        <v>0.40909444904709036</v>
      </c>
      <c r="N72">
        <v>178</v>
      </c>
      <c r="O72">
        <v>178</v>
      </c>
    </row>
    <row r="73" spans="1:15" x14ac:dyDescent="0.3">
      <c r="A73">
        <v>21130</v>
      </c>
      <c r="B73" t="s">
        <v>1308</v>
      </c>
      <c r="C73" t="s">
        <v>1045</v>
      </c>
      <c r="D73">
        <v>0</v>
      </c>
      <c r="E73">
        <v>48</v>
      </c>
      <c r="F73">
        <v>47</v>
      </c>
      <c r="G73">
        <v>71</v>
      </c>
      <c r="H73">
        <v>0</v>
      </c>
      <c r="I73">
        <v>24</v>
      </c>
      <c r="J73">
        <v>54</v>
      </c>
      <c r="K73">
        <v>98</v>
      </c>
      <c r="L73">
        <v>101</v>
      </c>
      <c r="M73" s="71">
        <v>0.7209783359443771</v>
      </c>
      <c r="N73">
        <v>101</v>
      </c>
      <c r="O73">
        <v>101</v>
      </c>
    </row>
    <row r="74" spans="1:15" x14ac:dyDescent="0.3">
      <c r="A74">
        <v>21131</v>
      </c>
      <c r="B74" t="s">
        <v>1240</v>
      </c>
      <c r="C74" t="s">
        <v>992</v>
      </c>
      <c r="D74">
        <v>6</v>
      </c>
      <c r="E74">
        <v>63</v>
      </c>
      <c r="F74">
        <v>0</v>
      </c>
      <c r="G74">
        <v>34</v>
      </c>
      <c r="H74">
        <v>17</v>
      </c>
      <c r="I74">
        <v>43</v>
      </c>
      <c r="J74">
        <v>65</v>
      </c>
      <c r="K74">
        <v>78</v>
      </c>
      <c r="L74">
        <v>88</v>
      </c>
      <c r="M74" s="71">
        <v>0.82748649920888728</v>
      </c>
      <c r="N74">
        <v>88</v>
      </c>
      <c r="O74">
        <v>88</v>
      </c>
    </row>
    <row r="75" spans="1:15" x14ac:dyDescent="0.3">
      <c r="A75">
        <v>21132</v>
      </c>
      <c r="B75" t="s">
        <v>1255</v>
      </c>
      <c r="C75" t="s">
        <v>1045</v>
      </c>
      <c r="D75">
        <v>0</v>
      </c>
      <c r="E75">
        <v>48</v>
      </c>
      <c r="F75">
        <v>15</v>
      </c>
      <c r="G75">
        <v>36</v>
      </c>
      <c r="H75">
        <v>63</v>
      </c>
      <c r="I75">
        <v>70</v>
      </c>
      <c r="J75">
        <v>5</v>
      </c>
      <c r="K75">
        <v>21</v>
      </c>
      <c r="L75">
        <v>83</v>
      </c>
      <c r="M75" s="71">
        <v>0.87733508349857936</v>
      </c>
      <c r="N75">
        <v>83</v>
      </c>
      <c r="O75">
        <v>83</v>
      </c>
    </row>
    <row r="76" spans="1:15" x14ac:dyDescent="0.3">
      <c r="A76">
        <v>21140</v>
      </c>
      <c r="B76" t="s">
        <v>1221</v>
      </c>
      <c r="C76" t="s">
        <v>996</v>
      </c>
      <c r="D76">
        <v>12</v>
      </c>
      <c r="E76">
        <v>54</v>
      </c>
      <c r="F76">
        <v>0</v>
      </c>
      <c r="G76">
        <v>24</v>
      </c>
      <c r="H76">
        <v>30</v>
      </c>
      <c r="I76">
        <v>46</v>
      </c>
      <c r="J76">
        <v>88</v>
      </c>
      <c r="K76">
        <v>57</v>
      </c>
      <c r="L76">
        <v>130</v>
      </c>
      <c r="M76" s="71">
        <v>0.56014470715678522</v>
      </c>
      <c r="N76">
        <v>130</v>
      </c>
      <c r="O76">
        <v>130</v>
      </c>
    </row>
    <row r="77" spans="1:15" x14ac:dyDescent="0.3">
      <c r="A77">
        <v>21153</v>
      </c>
      <c r="B77" t="s">
        <v>1320</v>
      </c>
      <c r="C77" t="s">
        <v>992</v>
      </c>
      <c r="D77">
        <v>0</v>
      </c>
      <c r="E77">
        <v>48</v>
      </c>
      <c r="F77">
        <v>0</v>
      </c>
      <c r="G77">
        <v>24</v>
      </c>
      <c r="H77">
        <v>24</v>
      </c>
      <c r="I77">
        <v>50</v>
      </c>
      <c r="J77">
        <v>0</v>
      </c>
      <c r="K77">
        <v>24</v>
      </c>
      <c r="L77">
        <v>24</v>
      </c>
      <c r="M77" s="71">
        <v>3.0341171637659201</v>
      </c>
      <c r="N77">
        <v>24</v>
      </c>
      <c r="O77">
        <v>24</v>
      </c>
    </row>
    <row r="78" spans="1:15" x14ac:dyDescent="0.3">
      <c r="A78">
        <v>21155</v>
      </c>
      <c r="B78" t="s">
        <v>1229</v>
      </c>
      <c r="C78" t="s">
        <v>992</v>
      </c>
      <c r="D78">
        <v>0</v>
      </c>
      <c r="E78">
        <v>48</v>
      </c>
      <c r="F78">
        <v>114</v>
      </c>
      <c r="G78">
        <v>178</v>
      </c>
      <c r="H78">
        <v>0</v>
      </c>
      <c r="I78">
        <v>24</v>
      </c>
      <c r="J78">
        <v>21</v>
      </c>
      <c r="K78">
        <v>40</v>
      </c>
      <c r="L78">
        <v>135</v>
      </c>
      <c r="M78" s="71">
        <v>0.53939860689171915</v>
      </c>
      <c r="N78">
        <v>135</v>
      </c>
      <c r="O78">
        <v>135</v>
      </c>
    </row>
    <row r="79" spans="1:15" x14ac:dyDescent="0.3">
      <c r="A79">
        <v>21160</v>
      </c>
      <c r="B79" t="s">
        <v>1241</v>
      </c>
      <c r="C79" t="s">
        <v>1045</v>
      </c>
      <c r="D79">
        <v>73</v>
      </c>
      <c r="E79">
        <v>144</v>
      </c>
      <c r="F79">
        <v>0</v>
      </c>
      <c r="G79">
        <v>24</v>
      </c>
      <c r="H79">
        <v>63</v>
      </c>
      <c r="I79">
        <v>86</v>
      </c>
      <c r="J79">
        <v>0</v>
      </c>
      <c r="K79">
        <v>24</v>
      </c>
      <c r="L79">
        <v>136</v>
      </c>
      <c r="M79" s="71">
        <v>0.53543244066457418</v>
      </c>
      <c r="N79">
        <v>136</v>
      </c>
      <c r="O79">
        <v>136</v>
      </c>
    </row>
    <row r="80" spans="1:15" x14ac:dyDescent="0.3">
      <c r="A80">
        <v>21161</v>
      </c>
      <c r="B80" t="s">
        <v>1224</v>
      </c>
      <c r="C80" t="s">
        <v>1045</v>
      </c>
      <c r="D80">
        <v>34</v>
      </c>
      <c r="E80">
        <v>75</v>
      </c>
      <c r="F80">
        <v>8</v>
      </c>
      <c r="G80">
        <v>29</v>
      </c>
      <c r="H80">
        <v>37</v>
      </c>
      <c r="I80">
        <v>61</v>
      </c>
      <c r="J80">
        <v>17</v>
      </c>
      <c r="K80">
        <v>37</v>
      </c>
      <c r="L80">
        <v>96</v>
      </c>
      <c r="M80" s="71">
        <v>0.75852929094148003</v>
      </c>
      <c r="N80">
        <v>96</v>
      </c>
      <c r="O80">
        <v>96</v>
      </c>
    </row>
    <row r="81" spans="1:15" x14ac:dyDescent="0.3">
      <c r="A81">
        <v>21162</v>
      </c>
      <c r="B81" t="s">
        <v>1217</v>
      </c>
      <c r="C81" t="s">
        <v>992</v>
      </c>
      <c r="D81">
        <v>61</v>
      </c>
      <c r="E81">
        <v>98</v>
      </c>
      <c r="F81">
        <v>31</v>
      </c>
      <c r="G81">
        <v>55</v>
      </c>
      <c r="H81">
        <v>36</v>
      </c>
      <c r="I81">
        <v>43</v>
      </c>
      <c r="J81">
        <v>81</v>
      </c>
      <c r="K81">
        <v>75</v>
      </c>
      <c r="L81">
        <v>209</v>
      </c>
      <c r="M81" s="71">
        <v>0.34841536808795254</v>
      </c>
      <c r="N81">
        <v>209</v>
      </c>
      <c r="O81">
        <v>209</v>
      </c>
    </row>
    <row r="82" spans="1:15" x14ac:dyDescent="0.3">
      <c r="A82">
        <v>21402</v>
      </c>
      <c r="B82" t="s">
        <v>1042</v>
      </c>
      <c r="C82" t="s">
        <v>996</v>
      </c>
      <c r="D82">
        <v>0</v>
      </c>
      <c r="E82">
        <v>68</v>
      </c>
      <c r="F82">
        <v>18</v>
      </c>
      <c r="G82">
        <v>46</v>
      </c>
      <c r="H82">
        <v>0</v>
      </c>
      <c r="I82">
        <v>34</v>
      </c>
      <c r="J82">
        <v>5</v>
      </c>
      <c r="K82">
        <v>24</v>
      </c>
      <c r="L82">
        <v>23</v>
      </c>
      <c r="M82" s="71">
        <v>3.1660353013209601</v>
      </c>
      <c r="N82">
        <v>23</v>
      </c>
      <c r="O82">
        <v>23</v>
      </c>
    </row>
    <row r="83" spans="1:15" x14ac:dyDescent="0.3">
      <c r="A83">
        <v>21520</v>
      </c>
      <c r="B83" t="s">
        <v>1244</v>
      </c>
      <c r="C83" t="s">
        <v>1064</v>
      </c>
      <c r="D83">
        <v>46</v>
      </c>
      <c r="E83">
        <v>74</v>
      </c>
      <c r="F83">
        <v>45</v>
      </c>
      <c r="G83">
        <v>56</v>
      </c>
      <c r="H83">
        <v>16</v>
      </c>
      <c r="I83">
        <v>28</v>
      </c>
      <c r="J83">
        <v>57</v>
      </c>
      <c r="K83">
        <v>57</v>
      </c>
      <c r="L83">
        <v>164</v>
      </c>
      <c r="M83" s="71">
        <v>0.4440171459169639</v>
      </c>
      <c r="N83">
        <v>164</v>
      </c>
      <c r="O83">
        <v>164</v>
      </c>
    </row>
    <row r="84" spans="1:15" x14ac:dyDescent="0.3">
      <c r="A84">
        <v>21521</v>
      </c>
      <c r="B84" t="s">
        <v>1269</v>
      </c>
      <c r="C84" t="s">
        <v>1032</v>
      </c>
      <c r="D84">
        <v>21</v>
      </c>
      <c r="E84">
        <v>52</v>
      </c>
      <c r="F84">
        <v>9</v>
      </c>
      <c r="G84">
        <v>21</v>
      </c>
      <c r="H84">
        <v>14</v>
      </c>
      <c r="I84">
        <v>33</v>
      </c>
      <c r="J84">
        <v>5</v>
      </c>
      <c r="K84">
        <v>19</v>
      </c>
      <c r="L84">
        <v>49</v>
      </c>
      <c r="M84" s="71">
        <v>1.4860982026608589</v>
      </c>
      <c r="N84">
        <v>49</v>
      </c>
      <c r="O84">
        <v>49</v>
      </c>
    </row>
    <row r="85" spans="1:15" x14ac:dyDescent="0.3">
      <c r="A85">
        <v>21522</v>
      </c>
      <c r="B85" t="s">
        <v>1286</v>
      </c>
      <c r="C85" t="s">
        <v>1064</v>
      </c>
      <c r="D85">
        <v>0</v>
      </c>
      <c r="E85">
        <v>48</v>
      </c>
      <c r="F85">
        <v>7</v>
      </c>
      <c r="G85">
        <v>23</v>
      </c>
      <c r="H85">
        <v>0</v>
      </c>
      <c r="I85">
        <v>24</v>
      </c>
      <c r="J85">
        <v>0</v>
      </c>
      <c r="K85">
        <v>24</v>
      </c>
      <c r="L85">
        <v>7</v>
      </c>
      <c r="M85" s="71">
        <v>10.402687418626012</v>
      </c>
      <c r="N85">
        <v>7</v>
      </c>
      <c r="O85">
        <v>7</v>
      </c>
    </row>
    <row r="86" spans="1:15" x14ac:dyDescent="0.3">
      <c r="A86">
        <v>21523</v>
      </c>
      <c r="B86" t="s">
        <v>1357</v>
      </c>
      <c r="C86" t="s">
        <v>1064</v>
      </c>
      <c r="D86">
        <v>0</v>
      </c>
      <c r="E86">
        <v>48</v>
      </c>
      <c r="F86">
        <v>0</v>
      </c>
      <c r="G86">
        <v>24</v>
      </c>
      <c r="H86">
        <v>11</v>
      </c>
      <c r="I86">
        <v>29</v>
      </c>
      <c r="J86">
        <v>0</v>
      </c>
      <c r="K86">
        <v>24</v>
      </c>
      <c r="L86">
        <v>11</v>
      </c>
      <c r="M86" s="71">
        <v>6.6198919936710983</v>
      </c>
      <c r="N86">
        <v>11</v>
      </c>
      <c r="O86">
        <v>11</v>
      </c>
    </row>
    <row r="87" spans="1:15" x14ac:dyDescent="0.3">
      <c r="A87">
        <v>21529</v>
      </c>
      <c r="B87" t="s">
        <v>1321</v>
      </c>
      <c r="C87" t="s">
        <v>1032</v>
      </c>
      <c r="D87">
        <v>0</v>
      </c>
      <c r="E87">
        <v>48</v>
      </c>
      <c r="F87">
        <v>8</v>
      </c>
      <c r="G87">
        <v>24</v>
      </c>
      <c r="H87">
        <v>18</v>
      </c>
      <c r="I87">
        <v>39</v>
      </c>
      <c r="J87">
        <v>7</v>
      </c>
      <c r="K87">
        <v>22</v>
      </c>
      <c r="L87">
        <v>33</v>
      </c>
      <c r="M87" s="71">
        <v>2.2066306645570326</v>
      </c>
      <c r="N87">
        <v>33</v>
      </c>
      <c r="O87">
        <v>33</v>
      </c>
    </row>
    <row r="88" spans="1:15" x14ac:dyDescent="0.3">
      <c r="A88">
        <v>21530</v>
      </c>
      <c r="B88" t="s">
        <v>1214</v>
      </c>
      <c r="C88" t="s">
        <v>1032</v>
      </c>
      <c r="D88">
        <v>177</v>
      </c>
      <c r="E88">
        <v>205</v>
      </c>
      <c r="F88">
        <v>0</v>
      </c>
      <c r="G88">
        <v>24</v>
      </c>
      <c r="H88">
        <v>0</v>
      </c>
      <c r="I88">
        <v>24</v>
      </c>
      <c r="J88">
        <v>11</v>
      </c>
      <c r="K88">
        <v>29</v>
      </c>
      <c r="L88">
        <v>188</v>
      </c>
      <c r="M88" s="71">
        <v>0.38733410601267065</v>
      </c>
      <c r="N88">
        <v>188</v>
      </c>
      <c r="O88">
        <v>188</v>
      </c>
    </row>
    <row r="89" spans="1:15" x14ac:dyDescent="0.3">
      <c r="A89">
        <v>21531</v>
      </c>
      <c r="B89" t="s">
        <v>1202</v>
      </c>
      <c r="C89" t="s">
        <v>1064</v>
      </c>
      <c r="D89">
        <v>20</v>
      </c>
      <c r="E89">
        <v>55</v>
      </c>
      <c r="F89">
        <v>2</v>
      </c>
      <c r="G89">
        <v>15</v>
      </c>
      <c r="H89">
        <v>156</v>
      </c>
      <c r="I89">
        <v>145</v>
      </c>
      <c r="J89">
        <v>0</v>
      </c>
      <c r="K89">
        <v>24</v>
      </c>
      <c r="L89">
        <v>178</v>
      </c>
      <c r="M89" s="71">
        <v>0.40909444904709036</v>
      </c>
      <c r="N89">
        <v>178</v>
      </c>
      <c r="O89">
        <v>178</v>
      </c>
    </row>
    <row r="90" spans="1:15" x14ac:dyDescent="0.3">
      <c r="A90">
        <v>21538</v>
      </c>
      <c r="B90" t="s">
        <v>1348</v>
      </c>
      <c r="C90" t="s">
        <v>1064</v>
      </c>
      <c r="D90">
        <v>3</v>
      </c>
      <c r="E90">
        <v>42</v>
      </c>
      <c r="F90">
        <v>4</v>
      </c>
      <c r="G90">
        <v>7</v>
      </c>
      <c r="H90">
        <v>3</v>
      </c>
      <c r="I90">
        <v>7</v>
      </c>
      <c r="J90">
        <v>2</v>
      </c>
      <c r="K90">
        <v>17</v>
      </c>
      <c r="L90">
        <v>12</v>
      </c>
      <c r="M90" s="71">
        <v>6.0682343275318402</v>
      </c>
      <c r="N90">
        <v>12</v>
      </c>
      <c r="O90">
        <v>12</v>
      </c>
    </row>
    <row r="91" spans="1:15" x14ac:dyDescent="0.3">
      <c r="A91">
        <v>21539</v>
      </c>
      <c r="B91" t="s">
        <v>1218</v>
      </c>
      <c r="C91" t="s">
        <v>1032</v>
      </c>
      <c r="D91">
        <v>14</v>
      </c>
      <c r="E91">
        <v>50</v>
      </c>
      <c r="F91">
        <v>5</v>
      </c>
      <c r="G91">
        <v>19</v>
      </c>
      <c r="H91">
        <v>18</v>
      </c>
      <c r="I91">
        <v>20</v>
      </c>
      <c r="J91">
        <v>43</v>
      </c>
      <c r="K91">
        <v>61</v>
      </c>
      <c r="L91">
        <v>80</v>
      </c>
      <c r="M91" s="71">
        <v>0.91023514912977599</v>
      </c>
      <c r="N91">
        <v>80</v>
      </c>
      <c r="O91">
        <v>80</v>
      </c>
    </row>
    <row r="92" spans="1:15" x14ac:dyDescent="0.3">
      <c r="A92">
        <v>21540</v>
      </c>
      <c r="B92" t="s">
        <v>1346</v>
      </c>
      <c r="C92" t="s">
        <v>1032</v>
      </c>
      <c r="D92">
        <v>1</v>
      </c>
      <c r="E92">
        <v>38</v>
      </c>
      <c r="F92">
        <v>5</v>
      </c>
      <c r="G92">
        <v>20</v>
      </c>
      <c r="H92">
        <v>0</v>
      </c>
      <c r="I92">
        <v>24</v>
      </c>
      <c r="J92">
        <v>0</v>
      </c>
      <c r="K92">
        <v>24</v>
      </c>
      <c r="L92">
        <v>6</v>
      </c>
      <c r="M92" s="71">
        <v>12.13646865506368</v>
      </c>
      <c r="N92">
        <v>6</v>
      </c>
      <c r="O92">
        <v>6</v>
      </c>
    </row>
    <row r="93" spans="1:15" x14ac:dyDescent="0.3">
      <c r="A93">
        <v>21541</v>
      </c>
      <c r="B93" t="s">
        <v>1264</v>
      </c>
      <c r="C93" t="s">
        <v>1064</v>
      </c>
      <c r="D93">
        <v>0</v>
      </c>
      <c r="E93">
        <v>48</v>
      </c>
      <c r="F93">
        <v>0</v>
      </c>
      <c r="G93">
        <v>24</v>
      </c>
      <c r="H93">
        <v>45</v>
      </c>
      <c r="I93">
        <v>83</v>
      </c>
      <c r="J93">
        <v>0</v>
      </c>
      <c r="K93">
        <v>24</v>
      </c>
      <c r="L93">
        <v>45</v>
      </c>
      <c r="M93" s="71">
        <v>1.6181958206751574</v>
      </c>
      <c r="N93">
        <v>45</v>
      </c>
      <c r="O93">
        <v>45</v>
      </c>
    </row>
    <row r="94" spans="1:15" x14ac:dyDescent="0.3">
      <c r="A94">
        <v>21542</v>
      </c>
      <c r="B94" t="s">
        <v>1281</v>
      </c>
      <c r="C94" t="s">
        <v>1032</v>
      </c>
      <c r="D94">
        <v>20</v>
      </c>
      <c r="E94">
        <v>45</v>
      </c>
      <c r="F94">
        <v>9</v>
      </c>
      <c r="G94">
        <v>26</v>
      </c>
      <c r="H94">
        <v>9</v>
      </c>
      <c r="I94">
        <v>25</v>
      </c>
      <c r="J94">
        <v>12</v>
      </c>
      <c r="K94">
        <v>28</v>
      </c>
      <c r="L94">
        <v>50</v>
      </c>
      <c r="M94" s="71">
        <v>1.4563762386076418</v>
      </c>
      <c r="N94">
        <v>50</v>
      </c>
      <c r="O94">
        <v>50</v>
      </c>
    </row>
    <row r="95" spans="1:15" x14ac:dyDescent="0.3">
      <c r="A95">
        <v>21543</v>
      </c>
      <c r="B95" t="s">
        <v>1388</v>
      </c>
      <c r="C95" t="s">
        <v>1032</v>
      </c>
      <c r="D95">
        <v>0</v>
      </c>
      <c r="E95">
        <v>48</v>
      </c>
      <c r="F95">
        <v>0</v>
      </c>
      <c r="G95">
        <v>24</v>
      </c>
      <c r="H95">
        <v>12</v>
      </c>
      <c r="I95">
        <v>29</v>
      </c>
      <c r="J95">
        <v>0</v>
      </c>
      <c r="K95">
        <v>24</v>
      </c>
      <c r="L95">
        <v>12</v>
      </c>
      <c r="M95" s="71">
        <v>6.0682343275318402</v>
      </c>
      <c r="N95">
        <v>12</v>
      </c>
      <c r="O95">
        <v>12</v>
      </c>
    </row>
    <row r="96" spans="1:15" x14ac:dyDescent="0.3">
      <c r="A96">
        <v>21545</v>
      </c>
      <c r="B96" t="s">
        <v>1196</v>
      </c>
      <c r="C96" t="s">
        <v>1032</v>
      </c>
      <c r="D96">
        <v>35</v>
      </c>
      <c r="E96">
        <v>67</v>
      </c>
      <c r="F96">
        <v>83</v>
      </c>
      <c r="G96">
        <v>117</v>
      </c>
      <c r="H96">
        <v>15</v>
      </c>
      <c r="I96">
        <v>25</v>
      </c>
      <c r="J96">
        <v>69</v>
      </c>
      <c r="K96">
        <v>56</v>
      </c>
      <c r="L96">
        <v>202</v>
      </c>
      <c r="M96" s="71">
        <v>0.36048916797218855</v>
      </c>
      <c r="N96">
        <v>202</v>
      </c>
      <c r="O96">
        <v>202</v>
      </c>
    </row>
    <row r="97" spans="1:15" x14ac:dyDescent="0.3">
      <c r="A97">
        <v>21555</v>
      </c>
      <c r="B97" t="s">
        <v>1213</v>
      </c>
      <c r="C97" t="s">
        <v>1032</v>
      </c>
      <c r="D97">
        <v>65</v>
      </c>
      <c r="E97">
        <v>100</v>
      </c>
      <c r="F97">
        <v>26</v>
      </c>
      <c r="G97">
        <v>40</v>
      </c>
      <c r="H97">
        <v>35</v>
      </c>
      <c r="I97">
        <v>44</v>
      </c>
      <c r="J97">
        <v>0</v>
      </c>
      <c r="K97">
        <v>24</v>
      </c>
      <c r="L97">
        <v>126</v>
      </c>
      <c r="M97" s="71">
        <v>0.57792707881255623</v>
      </c>
      <c r="N97">
        <v>126</v>
      </c>
      <c r="O97">
        <v>126</v>
      </c>
    </row>
    <row r="98" spans="1:15" x14ac:dyDescent="0.3">
      <c r="A98">
        <v>21557</v>
      </c>
      <c r="B98" t="s">
        <v>1283</v>
      </c>
      <c r="C98" t="s">
        <v>1032</v>
      </c>
      <c r="D98">
        <v>0</v>
      </c>
      <c r="E98">
        <v>48</v>
      </c>
      <c r="F98">
        <v>0</v>
      </c>
      <c r="G98">
        <v>24</v>
      </c>
      <c r="H98">
        <v>65</v>
      </c>
      <c r="I98">
        <v>79</v>
      </c>
      <c r="J98">
        <v>0</v>
      </c>
      <c r="K98">
        <v>24</v>
      </c>
      <c r="L98">
        <v>65</v>
      </c>
      <c r="M98" s="71">
        <v>1.1202894143135704</v>
      </c>
      <c r="N98">
        <v>65</v>
      </c>
      <c r="O98">
        <v>65</v>
      </c>
    </row>
    <row r="99" spans="1:15" x14ac:dyDescent="0.3">
      <c r="A99">
        <v>21561</v>
      </c>
      <c r="B99" t="s">
        <v>1193</v>
      </c>
      <c r="C99" t="s">
        <v>1064</v>
      </c>
      <c r="D99">
        <v>64</v>
      </c>
      <c r="E99">
        <v>88</v>
      </c>
      <c r="F99">
        <v>32</v>
      </c>
      <c r="G99">
        <v>43</v>
      </c>
      <c r="H99">
        <v>62</v>
      </c>
      <c r="I99">
        <v>60</v>
      </c>
      <c r="J99">
        <v>8</v>
      </c>
      <c r="K99">
        <v>24</v>
      </c>
      <c r="L99">
        <v>166</v>
      </c>
      <c r="M99" s="71">
        <v>0.43866754174928968</v>
      </c>
      <c r="N99">
        <v>166</v>
      </c>
      <c r="O99">
        <v>166</v>
      </c>
    </row>
    <row r="100" spans="1:15" x14ac:dyDescent="0.3">
      <c r="A100">
        <v>21562</v>
      </c>
      <c r="B100" t="s">
        <v>1210</v>
      </c>
      <c r="C100" t="s">
        <v>1032</v>
      </c>
      <c r="D100">
        <v>28</v>
      </c>
      <c r="E100">
        <v>58</v>
      </c>
      <c r="F100">
        <v>16</v>
      </c>
      <c r="G100">
        <v>33</v>
      </c>
      <c r="H100">
        <v>60</v>
      </c>
      <c r="I100">
        <v>63</v>
      </c>
      <c r="J100">
        <v>36</v>
      </c>
      <c r="K100">
        <v>73</v>
      </c>
      <c r="L100">
        <v>140</v>
      </c>
      <c r="M100" s="71">
        <v>0.52013437093130055</v>
      </c>
      <c r="N100">
        <v>140</v>
      </c>
      <c r="O100">
        <v>140</v>
      </c>
    </row>
    <row r="101" spans="1:15" x14ac:dyDescent="0.3">
      <c r="A101">
        <v>21607</v>
      </c>
      <c r="B101" t="s">
        <v>1256</v>
      </c>
      <c r="C101" t="s">
        <v>1141</v>
      </c>
      <c r="D101">
        <v>56</v>
      </c>
      <c r="E101">
        <v>91</v>
      </c>
      <c r="F101">
        <v>0</v>
      </c>
      <c r="G101">
        <v>24</v>
      </c>
      <c r="H101">
        <v>55</v>
      </c>
      <c r="I101">
        <v>67</v>
      </c>
      <c r="J101">
        <v>0</v>
      </c>
      <c r="K101">
        <v>24</v>
      </c>
      <c r="L101">
        <v>111</v>
      </c>
      <c r="M101" s="71">
        <v>0.65602533270614494</v>
      </c>
      <c r="N101">
        <v>111</v>
      </c>
      <c r="O101">
        <v>111</v>
      </c>
    </row>
    <row r="102" spans="1:15" x14ac:dyDescent="0.3">
      <c r="A102">
        <v>21610</v>
      </c>
      <c r="B102" t="s">
        <v>1303</v>
      </c>
      <c r="C102" t="s">
        <v>1131</v>
      </c>
      <c r="D102">
        <v>18</v>
      </c>
      <c r="E102">
        <v>51</v>
      </c>
      <c r="F102">
        <v>5</v>
      </c>
      <c r="G102">
        <v>18</v>
      </c>
      <c r="H102">
        <v>9</v>
      </c>
      <c r="I102">
        <v>21</v>
      </c>
      <c r="J102">
        <v>10</v>
      </c>
      <c r="K102">
        <v>24</v>
      </c>
      <c r="L102">
        <v>42</v>
      </c>
      <c r="M102" s="71">
        <v>1.7337812364376686</v>
      </c>
      <c r="N102">
        <v>42</v>
      </c>
      <c r="O102">
        <v>42</v>
      </c>
    </row>
    <row r="103" spans="1:15" x14ac:dyDescent="0.3">
      <c r="A103">
        <v>21622</v>
      </c>
      <c r="B103" t="s">
        <v>1304</v>
      </c>
      <c r="C103" t="s">
        <v>1097</v>
      </c>
      <c r="D103">
        <v>0</v>
      </c>
      <c r="E103">
        <v>48</v>
      </c>
      <c r="F103">
        <v>5</v>
      </c>
      <c r="G103">
        <v>20</v>
      </c>
      <c r="H103">
        <v>20</v>
      </c>
      <c r="I103">
        <v>38</v>
      </c>
      <c r="J103">
        <v>7</v>
      </c>
      <c r="K103">
        <v>20</v>
      </c>
      <c r="L103">
        <v>32</v>
      </c>
      <c r="M103" s="71">
        <v>2.2755878728244401</v>
      </c>
      <c r="N103">
        <v>32</v>
      </c>
      <c r="O103">
        <v>32</v>
      </c>
    </row>
    <row r="104" spans="1:15" x14ac:dyDescent="0.3">
      <c r="A104">
        <v>21623</v>
      </c>
      <c r="B104" t="s">
        <v>1266</v>
      </c>
      <c r="C104" t="s">
        <v>1141</v>
      </c>
      <c r="D104">
        <v>35</v>
      </c>
      <c r="E104">
        <v>69</v>
      </c>
      <c r="F104">
        <v>18</v>
      </c>
      <c r="G104">
        <v>29</v>
      </c>
      <c r="H104">
        <v>44</v>
      </c>
      <c r="I104">
        <v>49</v>
      </c>
      <c r="J104">
        <v>10</v>
      </c>
      <c r="K104">
        <v>22</v>
      </c>
      <c r="L104">
        <v>107</v>
      </c>
      <c r="M104" s="71">
        <v>0.68054964420917829</v>
      </c>
      <c r="N104">
        <v>107</v>
      </c>
      <c r="O104">
        <v>107</v>
      </c>
    </row>
    <row r="105" spans="1:15" x14ac:dyDescent="0.3">
      <c r="A105">
        <v>21624</v>
      </c>
      <c r="B105" t="s">
        <v>1351</v>
      </c>
      <c r="C105" t="s">
        <v>1057</v>
      </c>
      <c r="D105">
        <v>0</v>
      </c>
      <c r="E105">
        <v>48</v>
      </c>
      <c r="F105">
        <v>0</v>
      </c>
      <c r="G105">
        <v>24</v>
      </c>
      <c r="H105">
        <v>7</v>
      </c>
      <c r="I105">
        <v>22</v>
      </c>
      <c r="J105">
        <v>0</v>
      </c>
      <c r="K105">
        <v>24</v>
      </c>
      <c r="L105">
        <v>7</v>
      </c>
      <c r="M105" s="71">
        <v>10.402687418626012</v>
      </c>
      <c r="N105">
        <v>7</v>
      </c>
      <c r="O105">
        <v>7</v>
      </c>
    </row>
    <row r="106" spans="1:15" x14ac:dyDescent="0.3">
      <c r="A106">
        <v>21625</v>
      </c>
      <c r="B106" t="s">
        <v>1231</v>
      </c>
      <c r="C106" t="s">
        <v>1057</v>
      </c>
      <c r="D106">
        <v>0</v>
      </c>
      <c r="E106">
        <v>48</v>
      </c>
      <c r="F106">
        <v>0</v>
      </c>
      <c r="G106">
        <v>24</v>
      </c>
      <c r="H106">
        <v>68</v>
      </c>
      <c r="I106">
        <v>75</v>
      </c>
      <c r="J106">
        <v>11</v>
      </c>
      <c r="K106">
        <v>19</v>
      </c>
      <c r="L106">
        <v>79</v>
      </c>
      <c r="M106" s="71">
        <v>0.92175711304281116</v>
      </c>
      <c r="N106">
        <v>79</v>
      </c>
      <c r="O106">
        <v>79</v>
      </c>
    </row>
    <row r="107" spans="1:15" x14ac:dyDescent="0.3">
      <c r="A107">
        <v>21628</v>
      </c>
      <c r="B107" t="s">
        <v>1290</v>
      </c>
      <c r="C107" t="s">
        <v>1141</v>
      </c>
      <c r="D107">
        <v>0</v>
      </c>
      <c r="E107">
        <v>48</v>
      </c>
      <c r="F107">
        <v>55</v>
      </c>
      <c r="G107">
        <v>88</v>
      </c>
      <c r="H107">
        <v>38</v>
      </c>
      <c r="I107">
        <v>58</v>
      </c>
      <c r="J107">
        <v>0</v>
      </c>
      <c r="K107">
        <v>24</v>
      </c>
      <c r="L107">
        <v>93</v>
      </c>
      <c r="M107" s="71">
        <v>0.78299797774604385</v>
      </c>
      <c r="N107">
        <v>93</v>
      </c>
      <c r="O107">
        <v>93</v>
      </c>
    </row>
    <row r="108" spans="1:15" x14ac:dyDescent="0.3">
      <c r="A108">
        <v>21631</v>
      </c>
      <c r="B108" t="s">
        <v>1274</v>
      </c>
      <c r="C108" t="s">
        <v>1097</v>
      </c>
      <c r="D108">
        <v>15</v>
      </c>
      <c r="E108">
        <v>47</v>
      </c>
      <c r="F108">
        <v>0</v>
      </c>
      <c r="G108">
        <v>24</v>
      </c>
      <c r="H108">
        <v>10</v>
      </c>
      <c r="I108">
        <v>25</v>
      </c>
      <c r="J108">
        <v>24</v>
      </c>
      <c r="K108">
        <v>39</v>
      </c>
      <c r="L108">
        <v>49</v>
      </c>
      <c r="M108" s="71">
        <v>1.4860982026608589</v>
      </c>
      <c r="N108">
        <v>49</v>
      </c>
      <c r="O108">
        <v>49</v>
      </c>
    </row>
    <row r="109" spans="1:15" x14ac:dyDescent="0.3">
      <c r="A109">
        <v>21635</v>
      </c>
      <c r="B109" t="s">
        <v>1192</v>
      </c>
      <c r="C109" t="s">
        <v>1131</v>
      </c>
      <c r="D109">
        <v>5</v>
      </c>
      <c r="E109">
        <v>43</v>
      </c>
      <c r="F109">
        <v>57</v>
      </c>
      <c r="G109">
        <v>82</v>
      </c>
      <c r="H109">
        <v>17</v>
      </c>
      <c r="I109">
        <v>43</v>
      </c>
      <c r="J109">
        <v>62</v>
      </c>
      <c r="K109">
        <v>61</v>
      </c>
      <c r="L109">
        <v>141</v>
      </c>
      <c r="M109" s="71">
        <v>0.51644547468356083</v>
      </c>
      <c r="N109">
        <v>141</v>
      </c>
      <c r="O109">
        <v>141</v>
      </c>
    </row>
    <row r="110" spans="1:15" x14ac:dyDescent="0.3">
      <c r="A110">
        <v>21636</v>
      </c>
      <c r="B110" t="s">
        <v>1275</v>
      </c>
      <c r="C110" t="s">
        <v>1095</v>
      </c>
      <c r="D110">
        <v>15</v>
      </c>
      <c r="E110">
        <v>37</v>
      </c>
      <c r="F110">
        <v>12</v>
      </c>
      <c r="G110">
        <v>18</v>
      </c>
      <c r="H110">
        <v>16</v>
      </c>
      <c r="I110">
        <v>22</v>
      </c>
      <c r="J110">
        <v>4</v>
      </c>
      <c r="K110">
        <v>6</v>
      </c>
      <c r="L110">
        <v>47</v>
      </c>
      <c r="M110" s="71">
        <v>1.5493364240506826</v>
      </c>
      <c r="N110">
        <v>47</v>
      </c>
      <c r="O110">
        <v>47</v>
      </c>
    </row>
    <row r="111" spans="1:15" x14ac:dyDescent="0.3">
      <c r="A111">
        <v>21638</v>
      </c>
      <c r="B111" t="s">
        <v>1178</v>
      </c>
      <c r="C111" t="s">
        <v>1141</v>
      </c>
      <c r="D111">
        <v>41</v>
      </c>
      <c r="E111">
        <v>103</v>
      </c>
      <c r="F111">
        <v>0</v>
      </c>
      <c r="G111">
        <v>34</v>
      </c>
      <c r="H111">
        <v>24</v>
      </c>
      <c r="I111">
        <v>48</v>
      </c>
      <c r="J111">
        <v>75</v>
      </c>
      <c r="K111">
        <v>56</v>
      </c>
      <c r="L111">
        <v>140</v>
      </c>
      <c r="M111" s="71">
        <v>0.52013437093130055</v>
      </c>
      <c r="N111">
        <v>140</v>
      </c>
      <c r="O111">
        <v>140</v>
      </c>
    </row>
    <row r="112" spans="1:15" x14ac:dyDescent="0.3">
      <c r="A112">
        <v>21640</v>
      </c>
      <c r="B112" t="s">
        <v>1236</v>
      </c>
      <c r="C112" t="s">
        <v>1095</v>
      </c>
      <c r="D112">
        <v>81</v>
      </c>
      <c r="E112">
        <v>112</v>
      </c>
      <c r="F112">
        <v>45</v>
      </c>
      <c r="G112">
        <v>64</v>
      </c>
      <c r="H112">
        <v>22</v>
      </c>
      <c r="I112">
        <v>35</v>
      </c>
      <c r="J112">
        <v>0</v>
      </c>
      <c r="K112">
        <v>24</v>
      </c>
      <c r="L112">
        <v>148</v>
      </c>
      <c r="M112" s="71">
        <v>0.49201899952960865</v>
      </c>
      <c r="N112">
        <v>148</v>
      </c>
      <c r="O112">
        <v>148</v>
      </c>
    </row>
    <row r="113" spans="1:15" x14ac:dyDescent="0.3">
      <c r="A113">
        <v>21641</v>
      </c>
      <c r="B113" t="s">
        <v>1339</v>
      </c>
      <c r="C113" t="s">
        <v>1095</v>
      </c>
      <c r="D113">
        <v>4</v>
      </c>
      <c r="E113">
        <v>44</v>
      </c>
      <c r="F113">
        <v>0</v>
      </c>
      <c r="G113">
        <v>24</v>
      </c>
      <c r="H113">
        <v>0</v>
      </c>
      <c r="I113">
        <v>24</v>
      </c>
      <c r="J113">
        <v>2</v>
      </c>
      <c r="K113">
        <v>15</v>
      </c>
      <c r="L113">
        <v>6</v>
      </c>
      <c r="M113" s="71">
        <v>12.13646865506368</v>
      </c>
      <c r="N113">
        <v>6</v>
      </c>
      <c r="O113">
        <v>6</v>
      </c>
    </row>
    <row r="114" spans="1:15" x14ac:dyDescent="0.3">
      <c r="A114">
        <v>21645</v>
      </c>
      <c r="B114" t="s">
        <v>1245</v>
      </c>
      <c r="C114" t="s">
        <v>1131</v>
      </c>
      <c r="D114">
        <v>39</v>
      </c>
      <c r="E114">
        <v>68</v>
      </c>
      <c r="F114">
        <v>12</v>
      </c>
      <c r="G114">
        <v>40</v>
      </c>
      <c r="H114">
        <v>50</v>
      </c>
      <c r="I114">
        <v>90</v>
      </c>
      <c r="J114">
        <v>0</v>
      </c>
      <c r="K114">
        <v>24</v>
      </c>
      <c r="L114">
        <v>101</v>
      </c>
      <c r="M114" s="71">
        <v>0.7209783359443771</v>
      </c>
      <c r="N114">
        <v>101</v>
      </c>
      <c r="O114">
        <v>101</v>
      </c>
    </row>
    <row r="115" spans="1:15" x14ac:dyDescent="0.3">
      <c r="A115">
        <v>21647</v>
      </c>
      <c r="B115" t="s">
        <v>1355</v>
      </c>
      <c r="C115" t="s">
        <v>1057</v>
      </c>
      <c r="D115">
        <v>0</v>
      </c>
      <c r="E115">
        <v>48</v>
      </c>
      <c r="F115">
        <v>0</v>
      </c>
      <c r="G115">
        <v>24</v>
      </c>
      <c r="H115">
        <v>11</v>
      </c>
      <c r="I115">
        <v>29</v>
      </c>
      <c r="J115">
        <v>12</v>
      </c>
      <c r="K115">
        <v>30</v>
      </c>
      <c r="L115">
        <v>23</v>
      </c>
      <c r="M115" s="71">
        <v>3.1660353013209601</v>
      </c>
      <c r="N115">
        <v>23</v>
      </c>
      <c r="O115">
        <v>23</v>
      </c>
    </row>
    <row r="116" spans="1:15" x14ac:dyDescent="0.3">
      <c r="A116">
        <v>21648</v>
      </c>
      <c r="B116" t="s">
        <v>1322</v>
      </c>
      <c r="C116" t="s">
        <v>1097</v>
      </c>
      <c r="D116">
        <v>25</v>
      </c>
      <c r="E116">
        <v>62</v>
      </c>
      <c r="F116">
        <v>0</v>
      </c>
      <c r="G116">
        <v>24</v>
      </c>
      <c r="H116">
        <v>0</v>
      </c>
      <c r="I116">
        <v>24</v>
      </c>
      <c r="J116">
        <v>0</v>
      </c>
      <c r="K116">
        <v>24</v>
      </c>
      <c r="L116">
        <v>25</v>
      </c>
      <c r="M116" s="71">
        <v>2.9127524772152835</v>
      </c>
      <c r="N116">
        <v>25</v>
      </c>
      <c r="O116">
        <v>25</v>
      </c>
    </row>
    <row r="117" spans="1:15" x14ac:dyDescent="0.3">
      <c r="A117">
        <v>21653</v>
      </c>
      <c r="B117" t="s">
        <v>1370</v>
      </c>
      <c r="C117" t="s">
        <v>1057</v>
      </c>
      <c r="D117">
        <v>0</v>
      </c>
      <c r="E117">
        <v>48</v>
      </c>
      <c r="F117">
        <v>0</v>
      </c>
      <c r="G117">
        <v>24</v>
      </c>
      <c r="H117">
        <v>0</v>
      </c>
      <c r="I117">
        <v>24</v>
      </c>
      <c r="J117">
        <v>6</v>
      </c>
      <c r="K117">
        <v>21</v>
      </c>
      <c r="L117">
        <v>6</v>
      </c>
      <c r="M117" s="71">
        <v>12.13646865506368</v>
      </c>
      <c r="N117">
        <v>6</v>
      </c>
      <c r="O117">
        <v>6</v>
      </c>
    </row>
    <row r="118" spans="1:15" x14ac:dyDescent="0.3">
      <c r="A118">
        <v>21654</v>
      </c>
      <c r="B118" t="s">
        <v>1296</v>
      </c>
      <c r="C118" t="s">
        <v>1057</v>
      </c>
      <c r="D118">
        <v>0</v>
      </c>
      <c r="E118">
        <v>48</v>
      </c>
      <c r="F118">
        <v>16</v>
      </c>
      <c r="G118">
        <v>39</v>
      </c>
      <c r="H118">
        <v>2</v>
      </c>
      <c r="I118">
        <v>15</v>
      </c>
      <c r="J118">
        <v>0</v>
      </c>
      <c r="K118">
        <v>24</v>
      </c>
      <c r="L118">
        <v>18</v>
      </c>
      <c r="M118" s="71">
        <v>4.0454895516878935</v>
      </c>
      <c r="N118">
        <v>18</v>
      </c>
      <c r="O118">
        <v>18</v>
      </c>
    </row>
    <row r="119" spans="1:15" x14ac:dyDescent="0.3">
      <c r="A119">
        <v>21657</v>
      </c>
      <c r="B119" t="s">
        <v>1271</v>
      </c>
      <c r="C119" t="s">
        <v>1141</v>
      </c>
      <c r="D119">
        <v>0</v>
      </c>
      <c r="E119">
        <v>48</v>
      </c>
      <c r="F119">
        <v>0</v>
      </c>
      <c r="G119">
        <v>24</v>
      </c>
      <c r="H119">
        <v>69</v>
      </c>
      <c r="I119">
        <v>110</v>
      </c>
      <c r="J119">
        <v>15</v>
      </c>
      <c r="K119">
        <v>35</v>
      </c>
      <c r="L119">
        <v>84</v>
      </c>
      <c r="M119" s="71">
        <v>0.86689061821883429</v>
      </c>
      <c r="N119">
        <v>84</v>
      </c>
      <c r="O119">
        <v>84</v>
      </c>
    </row>
    <row r="120" spans="1:15" x14ac:dyDescent="0.3">
      <c r="A120">
        <v>21658</v>
      </c>
      <c r="B120" t="s">
        <v>1200</v>
      </c>
      <c r="C120" t="s">
        <v>1141</v>
      </c>
      <c r="D120">
        <v>52</v>
      </c>
      <c r="E120">
        <v>88</v>
      </c>
      <c r="F120">
        <v>13</v>
      </c>
      <c r="G120">
        <v>30</v>
      </c>
      <c r="H120">
        <v>92</v>
      </c>
      <c r="I120">
        <v>90</v>
      </c>
      <c r="J120">
        <v>81</v>
      </c>
      <c r="K120">
        <v>75</v>
      </c>
      <c r="L120">
        <v>238</v>
      </c>
      <c r="M120" s="71">
        <v>0.30596139466547095</v>
      </c>
      <c r="N120">
        <v>238</v>
      </c>
      <c r="O120">
        <v>238</v>
      </c>
    </row>
    <row r="121" spans="1:15" x14ac:dyDescent="0.3">
      <c r="A121">
        <v>21659</v>
      </c>
      <c r="B121" t="s">
        <v>1223</v>
      </c>
      <c r="C121" t="s">
        <v>1097</v>
      </c>
      <c r="D121">
        <v>24</v>
      </c>
      <c r="E121">
        <v>49</v>
      </c>
      <c r="F121">
        <v>7</v>
      </c>
      <c r="G121">
        <v>10</v>
      </c>
      <c r="H121">
        <v>49</v>
      </c>
      <c r="I121">
        <v>62</v>
      </c>
      <c r="J121">
        <v>14</v>
      </c>
      <c r="K121">
        <v>30</v>
      </c>
      <c r="L121">
        <v>94</v>
      </c>
      <c r="M121" s="71">
        <v>0.77466821202534131</v>
      </c>
      <c r="N121">
        <v>94</v>
      </c>
      <c r="O121">
        <v>94</v>
      </c>
    </row>
    <row r="122" spans="1:15" x14ac:dyDescent="0.3">
      <c r="A122">
        <v>21661</v>
      </c>
      <c r="B122" t="s">
        <v>1211</v>
      </c>
      <c r="C122" t="s">
        <v>1131</v>
      </c>
      <c r="D122">
        <v>34</v>
      </c>
      <c r="E122">
        <v>52</v>
      </c>
      <c r="F122">
        <v>56</v>
      </c>
      <c r="G122">
        <v>57</v>
      </c>
      <c r="H122">
        <v>96</v>
      </c>
      <c r="I122">
        <v>63</v>
      </c>
      <c r="J122">
        <v>0</v>
      </c>
      <c r="K122">
        <v>24</v>
      </c>
      <c r="L122">
        <v>186</v>
      </c>
      <c r="M122" s="71">
        <v>0.39149898887302192</v>
      </c>
      <c r="N122">
        <v>186</v>
      </c>
      <c r="O122">
        <v>186</v>
      </c>
    </row>
    <row r="123" spans="1:15" x14ac:dyDescent="0.3">
      <c r="A123">
        <v>21662</v>
      </c>
      <c r="B123" t="s">
        <v>1327</v>
      </c>
      <c r="C123" t="s">
        <v>1057</v>
      </c>
      <c r="D123">
        <v>6</v>
      </c>
      <c r="E123">
        <v>45</v>
      </c>
      <c r="F123">
        <v>0</v>
      </c>
      <c r="G123">
        <v>24</v>
      </c>
      <c r="H123">
        <v>0</v>
      </c>
      <c r="I123">
        <v>24</v>
      </c>
      <c r="J123">
        <v>0</v>
      </c>
      <c r="K123">
        <v>24</v>
      </c>
      <c r="L123">
        <v>6</v>
      </c>
      <c r="M123" s="71">
        <v>12.13646865506368</v>
      </c>
      <c r="N123">
        <v>6</v>
      </c>
      <c r="O123">
        <v>6</v>
      </c>
    </row>
    <row r="124" spans="1:15" x14ac:dyDescent="0.3">
      <c r="A124">
        <v>21663</v>
      </c>
      <c r="B124" t="s">
        <v>1195</v>
      </c>
      <c r="C124" t="s">
        <v>1057</v>
      </c>
      <c r="D124">
        <v>72</v>
      </c>
      <c r="E124">
        <v>91</v>
      </c>
      <c r="F124">
        <v>15</v>
      </c>
      <c r="G124">
        <v>29</v>
      </c>
      <c r="H124">
        <v>48</v>
      </c>
      <c r="I124">
        <v>55</v>
      </c>
      <c r="J124">
        <v>42</v>
      </c>
      <c r="K124">
        <v>53</v>
      </c>
      <c r="L124">
        <v>177</v>
      </c>
      <c r="M124" s="71">
        <v>0.41140571712080271</v>
      </c>
      <c r="N124">
        <v>177</v>
      </c>
      <c r="O124">
        <v>177</v>
      </c>
    </row>
    <row r="125" spans="1:15" x14ac:dyDescent="0.3">
      <c r="A125">
        <v>21664</v>
      </c>
      <c r="B125" t="s">
        <v>1233</v>
      </c>
      <c r="C125" t="s">
        <v>1097</v>
      </c>
      <c r="D125">
        <v>104</v>
      </c>
      <c r="E125">
        <v>155</v>
      </c>
      <c r="F125">
        <v>7</v>
      </c>
      <c r="G125">
        <v>23</v>
      </c>
      <c r="H125">
        <v>40</v>
      </c>
      <c r="I125">
        <v>43</v>
      </c>
      <c r="J125">
        <v>6</v>
      </c>
      <c r="K125">
        <v>21</v>
      </c>
      <c r="L125">
        <v>157</v>
      </c>
      <c r="M125" s="71">
        <v>0.46381408872854829</v>
      </c>
      <c r="N125">
        <v>157</v>
      </c>
      <c r="O125">
        <v>157</v>
      </c>
    </row>
    <row r="126" spans="1:15" x14ac:dyDescent="0.3">
      <c r="A126">
        <v>21665</v>
      </c>
      <c r="B126" t="s">
        <v>1279</v>
      </c>
      <c r="C126" t="s">
        <v>1057</v>
      </c>
      <c r="D126">
        <v>10</v>
      </c>
      <c r="E126">
        <v>50</v>
      </c>
      <c r="F126">
        <v>0</v>
      </c>
      <c r="G126">
        <v>24</v>
      </c>
      <c r="H126">
        <v>6</v>
      </c>
      <c r="I126">
        <v>23</v>
      </c>
      <c r="J126">
        <v>0</v>
      </c>
      <c r="K126">
        <v>24</v>
      </c>
      <c r="L126">
        <v>16</v>
      </c>
      <c r="M126" s="71">
        <v>4.5511757456488802</v>
      </c>
      <c r="N126">
        <v>16</v>
      </c>
      <c r="O126">
        <v>16</v>
      </c>
    </row>
    <row r="127" spans="1:15" x14ac:dyDescent="0.3">
      <c r="A127">
        <v>21668</v>
      </c>
      <c r="B127" t="s">
        <v>1254</v>
      </c>
      <c r="C127" t="s">
        <v>1141</v>
      </c>
      <c r="D127">
        <v>19</v>
      </c>
      <c r="E127">
        <v>54</v>
      </c>
      <c r="F127">
        <v>42</v>
      </c>
      <c r="G127">
        <v>49</v>
      </c>
      <c r="H127">
        <v>22</v>
      </c>
      <c r="I127">
        <v>24</v>
      </c>
      <c r="J127">
        <v>8</v>
      </c>
      <c r="K127">
        <v>24</v>
      </c>
      <c r="L127">
        <v>91</v>
      </c>
      <c r="M127" s="71">
        <v>0.80020672450969321</v>
      </c>
      <c r="N127">
        <v>91</v>
      </c>
      <c r="O127">
        <v>91</v>
      </c>
    </row>
    <row r="128" spans="1:15" x14ac:dyDescent="0.3">
      <c r="A128">
        <v>21671</v>
      </c>
      <c r="B128" t="s">
        <v>1285</v>
      </c>
      <c r="C128" t="s">
        <v>1057</v>
      </c>
      <c r="D128">
        <v>35</v>
      </c>
      <c r="E128">
        <v>76</v>
      </c>
      <c r="F128">
        <v>0</v>
      </c>
      <c r="G128">
        <v>24</v>
      </c>
      <c r="H128">
        <v>17</v>
      </c>
      <c r="I128">
        <v>38</v>
      </c>
      <c r="J128">
        <v>0</v>
      </c>
      <c r="K128">
        <v>24</v>
      </c>
      <c r="L128">
        <v>52</v>
      </c>
      <c r="M128" s="71">
        <v>1.4003617678919631</v>
      </c>
      <c r="N128">
        <v>52</v>
      </c>
      <c r="O128">
        <v>52</v>
      </c>
    </row>
    <row r="129" spans="1:15" x14ac:dyDescent="0.3">
      <c r="A129">
        <v>21672</v>
      </c>
      <c r="B129" t="s">
        <v>1336</v>
      </c>
      <c r="C129" t="s">
        <v>1097</v>
      </c>
      <c r="D129">
        <v>15</v>
      </c>
      <c r="E129">
        <v>52</v>
      </c>
      <c r="F129">
        <v>0</v>
      </c>
      <c r="G129">
        <v>24</v>
      </c>
      <c r="H129">
        <v>5</v>
      </c>
      <c r="I129">
        <v>20</v>
      </c>
      <c r="J129">
        <v>0</v>
      </c>
      <c r="K129">
        <v>24</v>
      </c>
      <c r="L129">
        <v>20</v>
      </c>
      <c r="M129" s="71">
        <v>3.640940596519104</v>
      </c>
      <c r="N129">
        <v>20</v>
      </c>
      <c r="O129">
        <v>20</v>
      </c>
    </row>
    <row r="130" spans="1:15" x14ac:dyDescent="0.3">
      <c r="A130">
        <v>21673</v>
      </c>
      <c r="B130" t="s">
        <v>1171</v>
      </c>
      <c r="C130" t="s">
        <v>1057</v>
      </c>
      <c r="D130">
        <v>78</v>
      </c>
      <c r="E130">
        <v>102</v>
      </c>
      <c r="F130">
        <v>27</v>
      </c>
      <c r="G130">
        <v>42</v>
      </c>
      <c r="H130">
        <v>59</v>
      </c>
      <c r="I130">
        <v>69</v>
      </c>
      <c r="J130">
        <v>38</v>
      </c>
      <c r="K130">
        <v>45</v>
      </c>
      <c r="L130">
        <v>202</v>
      </c>
      <c r="M130" s="71">
        <v>0.36048916797218855</v>
      </c>
      <c r="N130">
        <v>202</v>
      </c>
      <c r="O130">
        <v>202</v>
      </c>
    </row>
    <row r="131" spans="1:15" x14ac:dyDescent="0.3">
      <c r="A131">
        <v>21676</v>
      </c>
      <c r="B131" t="s">
        <v>1278</v>
      </c>
      <c r="C131" t="s">
        <v>1057</v>
      </c>
      <c r="D131">
        <v>0</v>
      </c>
      <c r="E131">
        <v>48</v>
      </c>
      <c r="F131">
        <v>23</v>
      </c>
      <c r="G131">
        <v>43</v>
      </c>
      <c r="H131">
        <v>72</v>
      </c>
      <c r="I131">
        <v>67</v>
      </c>
      <c r="J131">
        <v>0</v>
      </c>
      <c r="K131">
        <v>24</v>
      </c>
      <c r="L131">
        <v>95</v>
      </c>
      <c r="M131" s="71">
        <v>0.76651380979349559</v>
      </c>
      <c r="N131">
        <v>95</v>
      </c>
      <c r="O131">
        <v>95</v>
      </c>
    </row>
    <row r="132" spans="1:15" x14ac:dyDescent="0.3">
      <c r="A132">
        <v>21677</v>
      </c>
      <c r="B132" t="s">
        <v>1362</v>
      </c>
      <c r="C132" t="s">
        <v>1097</v>
      </c>
      <c r="D132">
        <v>0</v>
      </c>
      <c r="E132">
        <v>48</v>
      </c>
      <c r="F132">
        <v>0</v>
      </c>
      <c r="G132">
        <v>24</v>
      </c>
      <c r="H132">
        <v>0</v>
      </c>
      <c r="I132">
        <v>24</v>
      </c>
      <c r="J132">
        <v>13</v>
      </c>
      <c r="K132">
        <v>30</v>
      </c>
      <c r="L132">
        <v>13</v>
      </c>
      <c r="M132" s="71">
        <v>5.6014470715678524</v>
      </c>
      <c r="N132">
        <v>13</v>
      </c>
      <c r="O132">
        <v>13</v>
      </c>
    </row>
    <row r="133" spans="1:15" x14ac:dyDescent="0.3">
      <c r="A133">
        <v>21678</v>
      </c>
      <c r="B133" t="s">
        <v>1232</v>
      </c>
      <c r="C133" t="s">
        <v>1131</v>
      </c>
      <c r="D133">
        <v>75</v>
      </c>
      <c r="E133">
        <v>116</v>
      </c>
      <c r="F133">
        <v>0</v>
      </c>
      <c r="G133">
        <v>24</v>
      </c>
      <c r="H133">
        <v>25</v>
      </c>
      <c r="I133">
        <v>49</v>
      </c>
      <c r="J133">
        <v>19</v>
      </c>
      <c r="K133">
        <v>43</v>
      </c>
      <c r="L133">
        <v>119</v>
      </c>
      <c r="M133" s="71">
        <v>0.61192278933094191</v>
      </c>
      <c r="N133">
        <v>119</v>
      </c>
      <c r="O133">
        <v>119</v>
      </c>
    </row>
    <row r="134" spans="1:15" x14ac:dyDescent="0.3">
      <c r="A134">
        <v>21710</v>
      </c>
      <c r="B134" t="s">
        <v>1179</v>
      </c>
      <c r="C134" t="s">
        <v>1027</v>
      </c>
      <c r="D134">
        <v>13</v>
      </c>
      <c r="E134">
        <v>53</v>
      </c>
      <c r="F134">
        <v>42</v>
      </c>
      <c r="G134">
        <v>52</v>
      </c>
      <c r="H134">
        <v>161</v>
      </c>
      <c r="I134">
        <v>139</v>
      </c>
      <c r="J134">
        <v>15</v>
      </c>
      <c r="K134">
        <v>25</v>
      </c>
      <c r="L134">
        <v>231</v>
      </c>
      <c r="M134" s="71">
        <v>0.31523295207957613</v>
      </c>
      <c r="N134">
        <v>231</v>
      </c>
      <c r="O134">
        <v>231</v>
      </c>
    </row>
    <row r="135" spans="1:15" x14ac:dyDescent="0.3">
      <c r="A135">
        <v>21711</v>
      </c>
      <c r="B135" t="s">
        <v>1234</v>
      </c>
      <c r="C135" t="s">
        <v>999</v>
      </c>
      <c r="D135">
        <v>0</v>
      </c>
      <c r="E135">
        <v>48</v>
      </c>
      <c r="F135">
        <v>0</v>
      </c>
      <c r="G135">
        <v>24</v>
      </c>
      <c r="H135">
        <v>25</v>
      </c>
      <c r="I135">
        <v>41</v>
      </c>
      <c r="J135">
        <v>28</v>
      </c>
      <c r="K135">
        <v>53</v>
      </c>
      <c r="L135">
        <v>53</v>
      </c>
      <c r="M135" s="71">
        <v>1.3739398477430582</v>
      </c>
      <c r="N135">
        <v>53</v>
      </c>
      <c r="O135">
        <v>53</v>
      </c>
    </row>
    <row r="136" spans="1:15" x14ac:dyDescent="0.3">
      <c r="A136">
        <v>21716</v>
      </c>
      <c r="B136" t="s">
        <v>1194</v>
      </c>
      <c r="C136" t="s">
        <v>1027</v>
      </c>
      <c r="D136">
        <v>26</v>
      </c>
      <c r="E136">
        <v>75</v>
      </c>
      <c r="F136">
        <v>0</v>
      </c>
      <c r="G136">
        <v>34</v>
      </c>
      <c r="H136">
        <v>48</v>
      </c>
      <c r="I136">
        <v>62</v>
      </c>
      <c r="J136">
        <v>26</v>
      </c>
      <c r="K136">
        <v>57</v>
      </c>
      <c r="L136">
        <v>100</v>
      </c>
      <c r="M136" s="71">
        <v>0.72818811930382088</v>
      </c>
      <c r="N136">
        <v>100</v>
      </c>
      <c r="O136">
        <v>100</v>
      </c>
    </row>
    <row r="137" spans="1:15" x14ac:dyDescent="0.3">
      <c r="A137">
        <v>21719</v>
      </c>
      <c r="B137" t="s">
        <v>1243</v>
      </c>
      <c r="C137" t="s">
        <v>999</v>
      </c>
      <c r="D137">
        <v>10</v>
      </c>
      <c r="E137">
        <v>41</v>
      </c>
      <c r="F137">
        <v>31</v>
      </c>
      <c r="G137">
        <v>39</v>
      </c>
      <c r="H137">
        <v>22</v>
      </c>
      <c r="I137">
        <v>38</v>
      </c>
      <c r="J137">
        <v>9</v>
      </c>
      <c r="K137">
        <v>26</v>
      </c>
      <c r="L137">
        <v>72</v>
      </c>
      <c r="M137" s="71">
        <v>1.0113723879219734</v>
      </c>
      <c r="N137">
        <v>72</v>
      </c>
      <c r="O137">
        <v>72</v>
      </c>
    </row>
    <row r="138" spans="1:15" x14ac:dyDescent="0.3">
      <c r="A138">
        <v>21723</v>
      </c>
      <c r="B138" t="s">
        <v>1299</v>
      </c>
      <c r="C138" t="s">
        <v>1038</v>
      </c>
      <c r="D138">
        <v>0</v>
      </c>
      <c r="E138">
        <v>48</v>
      </c>
      <c r="F138">
        <v>0</v>
      </c>
      <c r="G138">
        <v>24</v>
      </c>
      <c r="H138">
        <v>0</v>
      </c>
      <c r="I138">
        <v>24</v>
      </c>
      <c r="J138">
        <v>25</v>
      </c>
      <c r="K138">
        <v>52</v>
      </c>
      <c r="L138">
        <v>25</v>
      </c>
      <c r="M138" s="71">
        <v>2.9127524772152835</v>
      </c>
      <c r="N138">
        <v>25</v>
      </c>
      <c r="O138">
        <v>25</v>
      </c>
    </row>
    <row r="139" spans="1:15" x14ac:dyDescent="0.3">
      <c r="A139">
        <v>21727</v>
      </c>
      <c r="B139" t="s">
        <v>1186</v>
      </c>
      <c r="C139" t="s">
        <v>1027</v>
      </c>
      <c r="D139">
        <v>25</v>
      </c>
      <c r="E139">
        <v>93</v>
      </c>
      <c r="F139">
        <v>16</v>
      </c>
      <c r="G139">
        <v>33</v>
      </c>
      <c r="H139">
        <v>114</v>
      </c>
      <c r="I139">
        <v>92</v>
      </c>
      <c r="J139">
        <v>40</v>
      </c>
      <c r="K139">
        <v>54</v>
      </c>
      <c r="L139">
        <v>195</v>
      </c>
      <c r="M139" s="71">
        <v>0.37342980477119014</v>
      </c>
      <c r="N139">
        <v>195</v>
      </c>
      <c r="O139">
        <v>195</v>
      </c>
    </row>
    <row r="140" spans="1:15" x14ac:dyDescent="0.3">
      <c r="A140">
        <v>21733</v>
      </c>
      <c r="B140" t="s">
        <v>1347</v>
      </c>
      <c r="C140" t="s">
        <v>999</v>
      </c>
      <c r="D140">
        <v>0</v>
      </c>
      <c r="E140">
        <v>48</v>
      </c>
      <c r="F140">
        <v>0</v>
      </c>
      <c r="G140">
        <v>24</v>
      </c>
      <c r="H140">
        <v>0</v>
      </c>
      <c r="I140">
        <v>24</v>
      </c>
      <c r="J140">
        <v>18</v>
      </c>
      <c r="K140">
        <v>43</v>
      </c>
      <c r="L140">
        <v>18</v>
      </c>
      <c r="M140" s="71">
        <v>4.0454895516878935</v>
      </c>
      <c r="N140">
        <v>18</v>
      </c>
      <c r="O140">
        <v>18</v>
      </c>
    </row>
    <row r="141" spans="1:15" x14ac:dyDescent="0.3">
      <c r="A141">
        <v>21734</v>
      </c>
      <c r="B141" t="s">
        <v>1272</v>
      </c>
      <c r="C141" t="s">
        <v>999</v>
      </c>
      <c r="D141">
        <v>17</v>
      </c>
      <c r="E141">
        <v>49</v>
      </c>
      <c r="F141">
        <v>4</v>
      </c>
      <c r="G141">
        <v>21</v>
      </c>
      <c r="H141">
        <v>44</v>
      </c>
      <c r="I141">
        <v>46</v>
      </c>
      <c r="J141">
        <v>10</v>
      </c>
      <c r="K141">
        <v>28</v>
      </c>
      <c r="L141">
        <v>75</v>
      </c>
      <c r="M141" s="71">
        <v>0.9709174924050944</v>
      </c>
      <c r="N141">
        <v>75</v>
      </c>
      <c r="O141">
        <v>75</v>
      </c>
    </row>
    <row r="142" spans="1:15" x14ac:dyDescent="0.3">
      <c r="A142">
        <v>21737</v>
      </c>
      <c r="B142" t="s">
        <v>1317</v>
      </c>
      <c r="C142" t="s">
        <v>1038</v>
      </c>
      <c r="D142">
        <v>1</v>
      </c>
      <c r="E142">
        <v>41</v>
      </c>
      <c r="F142">
        <v>0</v>
      </c>
      <c r="G142">
        <v>24</v>
      </c>
      <c r="H142">
        <v>31</v>
      </c>
      <c r="I142">
        <v>59</v>
      </c>
      <c r="J142">
        <v>10</v>
      </c>
      <c r="K142">
        <v>29</v>
      </c>
      <c r="L142">
        <v>42</v>
      </c>
      <c r="M142" s="71">
        <v>1.7337812364376686</v>
      </c>
      <c r="N142">
        <v>42</v>
      </c>
      <c r="O142">
        <v>42</v>
      </c>
    </row>
    <row r="143" spans="1:15" x14ac:dyDescent="0.3">
      <c r="A143">
        <v>21738</v>
      </c>
      <c r="B143" t="s">
        <v>1311</v>
      </c>
      <c r="C143" t="s">
        <v>1038</v>
      </c>
      <c r="D143">
        <v>0</v>
      </c>
      <c r="E143">
        <v>48</v>
      </c>
      <c r="F143">
        <v>0</v>
      </c>
      <c r="G143">
        <v>24</v>
      </c>
      <c r="H143">
        <v>0</v>
      </c>
      <c r="I143">
        <v>24</v>
      </c>
      <c r="J143">
        <v>19</v>
      </c>
      <c r="K143">
        <v>41</v>
      </c>
      <c r="L143">
        <v>19</v>
      </c>
      <c r="M143" s="71">
        <v>3.832569048967478</v>
      </c>
      <c r="N143">
        <v>19</v>
      </c>
      <c r="O143">
        <v>19</v>
      </c>
    </row>
    <row r="144" spans="1:15" x14ac:dyDescent="0.3">
      <c r="A144">
        <v>21750</v>
      </c>
      <c r="B144" t="s">
        <v>1207</v>
      </c>
      <c r="C144" t="s">
        <v>999</v>
      </c>
      <c r="D144">
        <v>24</v>
      </c>
      <c r="E144">
        <v>43</v>
      </c>
      <c r="F144">
        <v>60</v>
      </c>
      <c r="G144">
        <v>52</v>
      </c>
      <c r="H144">
        <v>59</v>
      </c>
      <c r="I144">
        <v>35</v>
      </c>
      <c r="J144">
        <v>45</v>
      </c>
      <c r="K144">
        <v>66</v>
      </c>
      <c r="L144">
        <v>188</v>
      </c>
      <c r="M144" s="71">
        <v>0.38733410601267065</v>
      </c>
      <c r="N144">
        <v>188</v>
      </c>
      <c r="O144">
        <v>188</v>
      </c>
    </row>
    <row r="145" spans="1:15" x14ac:dyDescent="0.3">
      <c r="A145">
        <v>21754</v>
      </c>
      <c r="B145" t="s">
        <v>1227</v>
      </c>
      <c r="C145" t="s">
        <v>1027</v>
      </c>
      <c r="D145">
        <v>92</v>
      </c>
      <c r="E145">
        <v>143</v>
      </c>
      <c r="F145">
        <v>10</v>
      </c>
      <c r="G145">
        <v>32</v>
      </c>
      <c r="H145">
        <v>15</v>
      </c>
      <c r="I145">
        <v>23</v>
      </c>
      <c r="J145">
        <v>44</v>
      </c>
      <c r="K145">
        <v>60</v>
      </c>
      <c r="L145">
        <v>161</v>
      </c>
      <c r="M145" s="71">
        <v>0.45229075733156571</v>
      </c>
      <c r="N145">
        <v>161</v>
      </c>
      <c r="O145">
        <v>161</v>
      </c>
    </row>
    <row r="146" spans="1:15" x14ac:dyDescent="0.3">
      <c r="A146">
        <v>21755</v>
      </c>
      <c r="B146" t="s">
        <v>1204</v>
      </c>
      <c r="C146" t="s">
        <v>1027</v>
      </c>
      <c r="D146">
        <v>25</v>
      </c>
      <c r="E146">
        <v>80</v>
      </c>
      <c r="F146">
        <v>53</v>
      </c>
      <c r="G146">
        <v>58</v>
      </c>
      <c r="H146">
        <v>18</v>
      </c>
      <c r="I146">
        <v>38</v>
      </c>
      <c r="J146">
        <v>47</v>
      </c>
      <c r="K146">
        <v>53</v>
      </c>
      <c r="L146">
        <v>143</v>
      </c>
      <c r="M146" s="71">
        <v>0.50922246105162294</v>
      </c>
      <c r="N146">
        <v>143</v>
      </c>
      <c r="O146">
        <v>143</v>
      </c>
    </row>
    <row r="147" spans="1:15" x14ac:dyDescent="0.3">
      <c r="A147">
        <v>21756</v>
      </c>
      <c r="B147" t="s">
        <v>1198</v>
      </c>
      <c r="C147" t="s">
        <v>999</v>
      </c>
      <c r="D147">
        <v>87</v>
      </c>
      <c r="E147">
        <v>154</v>
      </c>
      <c r="F147">
        <v>79</v>
      </c>
      <c r="G147">
        <v>70</v>
      </c>
      <c r="H147">
        <v>15</v>
      </c>
      <c r="I147">
        <v>29</v>
      </c>
      <c r="J147">
        <v>0</v>
      </c>
      <c r="K147">
        <v>24</v>
      </c>
      <c r="L147">
        <v>181</v>
      </c>
      <c r="M147" s="71">
        <v>0.40231387806840929</v>
      </c>
      <c r="N147">
        <v>181</v>
      </c>
      <c r="O147">
        <v>181</v>
      </c>
    </row>
    <row r="148" spans="1:15" x14ac:dyDescent="0.3">
      <c r="A148">
        <v>21758</v>
      </c>
      <c r="B148" t="s">
        <v>1206</v>
      </c>
      <c r="C148" t="s">
        <v>1027</v>
      </c>
      <c r="D148">
        <v>27</v>
      </c>
      <c r="E148">
        <v>51</v>
      </c>
      <c r="F148">
        <v>8</v>
      </c>
      <c r="G148">
        <v>22</v>
      </c>
      <c r="H148">
        <v>16</v>
      </c>
      <c r="I148">
        <v>34</v>
      </c>
      <c r="J148">
        <v>87</v>
      </c>
      <c r="K148">
        <v>79</v>
      </c>
      <c r="L148">
        <v>138</v>
      </c>
      <c r="M148" s="71">
        <v>0.52767255022016002</v>
      </c>
      <c r="N148">
        <v>138</v>
      </c>
      <c r="O148">
        <v>138</v>
      </c>
    </row>
    <row r="149" spans="1:15" x14ac:dyDescent="0.3">
      <c r="A149">
        <v>21766</v>
      </c>
      <c r="B149" t="s">
        <v>1328</v>
      </c>
      <c r="C149" t="s">
        <v>1032</v>
      </c>
      <c r="D149">
        <v>0</v>
      </c>
      <c r="E149">
        <v>48</v>
      </c>
      <c r="F149">
        <v>9</v>
      </c>
      <c r="G149">
        <v>28</v>
      </c>
      <c r="H149">
        <v>11</v>
      </c>
      <c r="I149">
        <v>28</v>
      </c>
      <c r="J149">
        <v>7</v>
      </c>
      <c r="K149">
        <v>24</v>
      </c>
      <c r="L149">
        <v>27</v>
      </c>
      <c r="M149" s="71">
        <v>2.6969930344585955</v>
      </c>
      <c r="N149">
        <v>27</v>
      </c>
      <c r="O149">
        <v>27</v>
      </c>
    </row>
    <row r="150" spans="1:15" x14ac:dyDescent="0.3">
      <c r="A150">
        <v>21767</v>
      </c>
      <c r="B150" t="s">
        <v>1289</v>
      </c>
      <c r="C150" t="s">
        <v>999</v>
      </c>
      <c r="D150">
        <v>42</v>
      </c>
      <c r="E150">
        <v>101</v>
      </c>
      <c r="F150">
        <v>0</v>
      </c>
      <c r="G150">
        <v>24</v>
      </c>
      <c r="H150">
        <v>11</v>
      </c>
      <c r="I150">
        <v>29</v>
      </c>
      <c r="J150">
        <v>0</v>
      </c>
      <c r="K150">
        <v>24</v>
      </c>
      <c r="L150">
        <v>53</v>
      </c>
      <c r="M150" s="71">
        <v>1.3739398477430582</v>
      </c>
      <c r="N150">
        <v>53</v>
      </c>
      <c r="O150">
        <v>53</v>
      </c>
    </row>
    <row r="151" spans="1:15" x14ac:dyDescent="0.3">
      <c r="A151">
        <v>21770</v>
      </c>
      <c r="B151" t="s">
        <v>1228</v>
      </c>
      <c r="C151" t="s">
        <v>1027</v>
      </c>
      <c r="D151">
        <v>7</v>
      </c>
      <c r="E151">
        <v>62</v>
      </c>
      <c r="F151">
        <v>0</v>
      </c>
      <c r="G151">
        <v>34</v>
      </c>
      <c r="H151">
        <v>166</v>
      </c>
      <c r="I151">
        <v>155</v>
      </c>
      <c r="J151">
        <v>0</v>
      </c>
      <c r="K151">
        <v>34</v>
      </c>
      <c r="L151">
        <v>173</v>
      </c>
      <c r="M151" s="71">
        <v>0.42091798803689068</v>
      </c>
      <c r="N151">
        <v>173</v>
      </c>
      <c r="O151">
        <v>173</v>
      </c>
    </row>
    <row r="152" spans="1:15" x14ac:dyDescent="0.3">
      <c r="A152">
        <v>21773</v>
      </c>
      <c r="B152" t="s">
        <v>1212</v>
      </c>
      <c r="C152" t="s">
        <v>1027</v>
      </c>
      <c r="D152">
        <v>40</v>
      </c>
      <c r="E152">
        <v>60</v>
      </c>
      <c r="F152">
        <v>15</v>
      </c>
      <c r="G152">
        <v>25</v>
      </c>
      <c r="H152">
        <v>74</v>
      </c>
      <c r="I152">
        <v>84</v>
      </c>
      <c r="J152">
        <v>65</v>
      </c>
      <c r="K152">
        <v>60</v>
      </c>
      <c r="L152">
        <v>194</v>
      </c>
      <c r="M152" s="71">
        <v>0.37535470067207261</v>
      </c>
      <c r="N152">
        <v>194</v>
      </c>
      <c r="O152">
        <v>194</v>
      </c>
    </row>
    <row r="153" spans="1:15" x14ac:dyDescent="0.3">
      <c r="A153">
        <v>21776</v>
      </c>
      <c r="B153" t="s">
        <v>1226</v>
      </c>
      <c r="C153" t="s">
        <v>1041</v>
      </c>
      <c r="D153">
        <v>46</v>
      </c>
      <c r="E153">
        <v>80</v>
      </c>
      <c r="F153">
        <v>10</v>
      </c>
      <c r="G153">
        <v>32</v>
      </c>
      <c r="H153">
        <v>83</v>
      </c>
      <c r="I153">
        <v>90</v>
      </c>
      <c r="J153">
        <v>10</v>
      </c>
      <c r="K153">
        <v>17</v>
      </c>
      <c r="L153">
        <v>149</v>
      </c>
      <c r="M153" s="71">
        <v>0.48871685859316832</v>
      </c>
      <c r="N153">
        <v>149</v>
      </c>
      <c r="O153">
        <v>149</v>
      </c>
    </row>
    <row r="154" spans="1:15" x14ac:dyDescent="0.3">
      <c r="A154">
        <v>21777</v>
      </c>
      <c r="B154" t="s">
        <v>1282</v>
      </c>
      <c r="C154" t="s">
        <v>1027</v>
      </c>
      <c r="D154">
        <v>22</v>
      </c>
      <c r="E154">
        <v>43</v>
      </c>
      <c r="F154">
        <v>22</v>
      </c>
      <c r="G154">
        <v>44</v>
      </c>
      <c r="H154">
        <v>0</v>
      </c>
      <c r="I154">
        <v>24</v>
      </c>
      <c r="J154">
        <v>20</v>
      </c>
      <c r="K154">
        <v>30</v>
      </c>
      <c r="L154">
        <v>64</v>
      </c>
      <c r="M154" s="71">
        <v>1.13779393641222</v>
      </c>
      <c r="N154">
        <v>64</v>
      </c>
      <c r="O154">
        <v>64</v>
      </c>
    </row>
    <row r="155" spans="1:15" x14ac:dyDescent="0.3">
      <c r="A155">
        <v>21778</v>
      </c>
      <c r="B155" t="s">
        <v>1276</v>
      </c>
      <c r="C155" t="s">
        <v>1027</v>
      </c>
      <c r="D155">
        <v>17</v>
      </c>
      <c r="E155">
        <v>62</v>
      </c>
      <c r="F155">
        <v>0</v>
      </c>
      <c r="G155">
        <v>24</v>
      </c>
      <c r="H155">
        <v>0</v>
      </c>
      <c r="I155">
        <v>24</v>
      </c>
      <c r="J155">
        <v>71</v>
      </c>
      <c r="K155">
        <v>59</v>
      </c>
      <c r="L155">
        <v>88</v>
      </c>
      <c r="M155" s="71">
        <v>0.82748649920888728</v>
      </c>
      <c r="N155">
        <v>88</v>
      </c>
      <c r="O155">
        <v>88</v>
      </c>
    </row>
    <row r="156" spans="1:15" x14ac:dyDescent="0.3">
      <c r="A156">
        <v>21780</v>
      </c>
      <c r="B156" t="s">
        <v>1249</v>
      </c>
      <c r="C156" t="s">
        <v>1027</v>
      </c>
      <c r="D156">
        <v>20</v>
      </c>
      <c r="E156">
        <v>52</v>
      </c>
      <c r="F156">
        <v>0</v>
      </c>
      <c r="G156">
        <v>24</v>
      </c>
      <c r="H156">
        <v>66</v>
      </c>
      <c r="I156">
        <v>80</v>
      </c>
      <c r="J156">
        <v>0</v>
      </c>
      <c r="K156">
        <v>24</v>
      </c>
      <c r="L156">
        <v>86</v>
      </c>
      <c r="M156" s="71">
        <v>0.84673037128351258</v>
      </c>
      <c r="N156">
        <v>86</v>
      </c>
      <c r="O156">
        <v>86</v>
      </c>
    </row>
    <row r="157" spans="1:15" x14ac:dyDescent="0.3">
      <c r="A157">
        <v>21782</v>
      </c>
      <c r="B157" t="s">
        <v>1160</v>
      </c>
      <c r="C157" t="s">
        <v>999</v>
      </c>
      <c r="D157">
        <v>17</v>
      </c>
      <c r="E157">
        <v>50</v>
      </c>
      <c r="F157">
        <v>52</v>
      </c>
      <c r="G157">
        <v>60</v>
      </c>
      <c r="H157">
        <v>62</v>
      </c>
      <c r="I157">
        <v>59</v>
      </c>
      <c r="J157">
        <v>12</v>
      </c>
      <c r="K157">
        <v>28</v>
      </c>
      <c r="L157">
        <v>143</v>
      </c>
      <c r="M157" s="71">
        <v>0.50922246105162294</v>
      </c>
      <c r="N157">
        <v>143</v>
      </c>
      <c r="O157">
        <v>143</v>
      </c>
    </row>
    <row r="158" spans="1:15" x14ac:dyDescent="0.3">
      <c r="A158">
        <v>21794</v>
      </c>
      <c r="B158" t="s">
        <v>1314</v>
      </c>
      <c r="C158" t="s">
        <v>1038</v>
      </c>
      <c r="D158">
        <v>12</v>
      </c>
      <c r="E158">
        <v>55</v>
      </c>
      <c r="F158">
        <v>0</v>
      </c>
      <c r="G158">
        <v>24</v>
      </c>
      <c r="H158">
        <v>7</v>
      </c>
      <c r="I158">
        <v>23</v>
      </c>
      <c r="J158">
        <v>11</v>
      </c>
      <c r="K158">
        <v>29</v>
      </c>
      <c r="L158">
        <v>30</v>
      </c>
      <c r="M158" s="71">
        <v>2.4272937310127363</v>
      </c>
      <c r="N158">
        <v>30</v>
      </c>
      <c r="O158">
        <v>30</v>
      </c>
    </row>
    <row r="159" spans="1:15" x14ac:dyDescent="0.3">
      <c r="A159">
        <v>21798</v>
      </c>
      <c r="B159" t="s">
        <v>1247</v>
      </c>
      <c r="C159" t="s">
        <v>1027</v>
      </c>
      <c r="D159">
        <v>5</v>
      </c>
      <c r="E159">
        <v>47</v>
      </c>
      <c r="F159">
        <v>3</v>
      </c>
      <c r="G159">
        <v>16</v>
      </c>
      <c r="H159">
        <v>14</v>
      </c>
      <c r="I159">
        <v>29</v>
      </c>
      <c r="J159">
        <v>61</v>
      </c>
      <c r="K159">
        <v>58</v>
      </c>
      <c r="L159">
        <v>83</v>
      </c>
      <c r="M159" s="71">
        <v>0.87733508349857936</v>
      </c>
      <c r="N159">
        <v>83</v>
      </c>
      <c r="O159">
        <v>83</v>
      </c>
    </row>
    <row r="160" spans="1:15" x14ac:dyDescent="0.3">
      <c r="A160">
        <v>21802</v>
      </c>
      <c r="B160" t="s">
        <v>1020</v>
      </c>
      <c r="C160" t="s">
        <v>1021</v>
      </c>
      <c r="D160">
        <v>11</v>
      </c>
      <c r="E160">
        <v>61</v>
      </c>
      <c r="F160">
        <v>0</v>
      </c>
      <c r="G160">
        <v>24</v>
      </c>
      <c r="H160">
        <v>0</v>
      </c>
      <c r="I160">
        <v>24</v>
      </c>
      <c r="J160">
        <v>0</v>
      </c>
      <c r="K160">
        <v>24</v>
      </c>
      <c r="L160">
        <v>11</v>
      </c>
      <c r="M160" s="71">
        <v>6.6198919936710983</v>
      </c>
      <c r="N160">
        <v>11</v>
      </c>
      <c r="O160">
        <v>11</v>
      </c>
    </row>
    <row r="161" spans="1:15" x14ac:dyDescent="0.3">
      <c r="A161">
        <v>21810</v>
      </c>
      <c r="B161" t="s">
        <v>1297</v>
      </c>
      <c r="C161" t="s">
        <v>1021</v>
      </c>
      <c r="D161">
        <v>0</v>
      </c>
      <c r="E161">
        <v>48</v>
      </c>
      <c r="F161">
        <v>0</v>
      </c>
      <c r="G161">
        <v>24</v>
      </c>
      <c r="H161">
        <v>0</v>
      </c>
      <c r="I161">
        <v>24</v>
      </c>
      <c r="J161">
        <v>38</v>
      </c>
      <c r="K161">
        <v>69</v>
      </c>
      <c r="L161">
        <v>38</v>
      </c>
      <c r="M161" s="71">
        <v>1.916284524483739</v>
      </c>
      <c r="N161">
        <v>38</v>
      </c>
      <c r="O161">
        <v>38</v>
      </c>
    </row>
    <row r="162" spans="1:15" x14ac:dyDescent="0.3">
      <c r="A162">
        <v>21813</v>
      </c>
      <c r="B162" t="s">
        <v>1277</v>
      </c>
      <c r="C162" t="s">
        <v>1062</v>
      </c>
      <c r="D162">
        <v>0</v>
      </c>
      <c r="E162">
        <v>48</v>
      </c>
      <c r="F162">
        <v>0</v>
      </c>
      <c r="G162">
        <v>24</v>
      </c>
      <c r="H162">
        <v>20</v>
      </c>
      <c r="I162">
        <v>45</v>
      </c>
      <c r="J162">
        <v>91</v>
      </c>
      <c r="K162">
        <v>119</v>
      </c>
      <c r="L162">
        <v>111</v>
      </c>
      <c r="M162" s="71">
        <v>0.65602533270614494</v>
      </c>
      <c r="N162">
        <v>111</v>
      </c>
      <c r="O162">
        <v>111</v>
      </c>
    </row>
    <row r="163" spans="1:15" x14ac:dyDescent="0.3">
      <c r="A163">
        <v>21814</v>
      </c>
      <c r="B163" t="s">
        <v>1340</v>
      </c>
      <c r="C163" t="s">
        <v>1021</v>
      </c>
      <c r="D163">
        <v>0</v>
      </c>
      <c r="E163">
        <v>48</v>
      </c>
      <c r="F163">
        <v>0</v>
      </c>
      <c r="G163">
        <v>24</v>
      </c>
      <c r="H163">
        <v>24</v>
      </c>
      <c r="I163">
        <v>51</v>
      </c>
      <c r="J163">
        <v>0</v>
      </c>
      <c r="K163">
        <v>24</v>
      </c>
      <c r="L163">
        <v>24</v>
      </c>
      <c r="M163" s="71">
        <v>3.0341171637659201</v>
      </c>
      <c r="N163">
        <v>24</v>
      </c>
      <c r="O163">
        <v>24</v>
      </c>
    </row>
    <row r="164" spans="1:15" x14ac:dyDescent="0.3">
      <c r="A164">
        <v>21821</v>
      </c>
      <c r="B164" t="s">
        <v>1300</v>
      </c>
      <c r="C164" t="s">
        <v>1108</v>
      </c>
      <c r="D164">
        <v>22</v>
      </c>
      <c r="E164">
        <v>60</v>
      </c>
      <c r="F164">
        <v>0</v>
      </c>
      <c r="G164">
        <v>24</v>
      </c>
      <c r="H164">
        <v>80</v>
      </c>
      <c r="I164">
        <v>84</v>
      </c>
      <c r="J164">
        <v>4</v>
      </c>
      <c r="K164">
        <v>21</v>
      </c>
      <c r="L164">
        <v>106</v>
      </c>
      <c r="M164" s="71">
        <v>0.68696992387152911</v>
      </c>
      <c r="N164">
        <v>106</v>
      </c>
      <c r="O164">
        <v>106</v>
      </c>
    </row>
    <row r="165" spans="1:15" x14ac:dyDescent="0.3">
      <c r="A165">
        <v>21829</v>
      </c>
      <c r="B165" t="s">
        <v>1324</v>
      </c>
      <c r="C165" t="s">
        <v>1062</v>
      </c>
      <c r="D165">
        <v>0</v>
      </c>
      <c r="E165">
        <v>48</v>
      </c>
      <c r="F165">
        <v>0</v>
      </c>
      <c r="G165">
        <v>24</v>
      </c>
      <c r="H165">
        <v>0</v>
      </c>
      <c r="I165">
        <v>24</v>
      </c>
      <c r="J165">
        <v>30</v>
      </c>
      <c r="K165">
        <v>56</v>
      </c>
      <c r="L165">
        <v>30</v>
      </c>
      <c r="M165" s="71">
        <v>2.4272937310127363</v>
      </c>
      <c r="N165">
        <v>30</v>
      </c>
      <c r="O165">
        <v>30</v>
      </c>
    </row>
    <row r="166" spans="1:15" x14ac:dyDescent="0.3">
      <c r="A166">
        <v>21830</v>
      </c>
      <c r="B166" t="s">
        <v>1187</v>
      </c>
      <c r="C166" t="s">
        <v>1021</v>
      </c>
      <c r="D166">
        <v>0</v>
      </c>
      <c r="E166">
        <v>48</v>
      </c>
      <c r="F166">
        <v>98</v>
      </c>
      <c r="G166">
        <v>137</v>
      </c>
      <c r="H166">
        <v>50</v>
      </c>
      <c r="I166">
        <v>58</v>
      </c>
      <c r="J166">
        <v>55</v>
      </c>
      <c r="K166">
        <v>74</v>
      </c>
      <c r="L166">
        <v>203</v>
      </c>
      <c r="M166" s="71">
        <v>0.35871335926296594</v>
      </c>
      <c r="N166">
        <v>203</v>
      </c>
      <c r="O166">
        <v>203</v>
      </c>
    </row>
    <row r="167" spans="1:15" x14ac:dyDescent="0.3">
      <c r="A167">
        <v>21835</v>
      </c>
      <c r="B167" t="s">
        <v>1253</v>
      </c>
      <c r="C167" t="s">
        <v>1097</v>
      </c>
      <c r="D167">
        <v>0</v>
      </c>
      <c r="E167">
        <v>48</v>
      </c>
      <c r="F167">
        <v>0</v>
      </c>
      <c r="G167">
        <v>24</v>
      </c>
      <c r="H167">
        <v>43</v>
      </c>
      <c r="I167">
        <v>79</v>
      </c>
      <c r="J167">
        <v>32</v>
      </c>
      <c r="K167">
        <v>60</v>
      </c>
      <c r="L167">
        <v>75</v>
      </c>
      <c r="M167" s="71">
        <v>0.9709174924050944</v>
      </c>
      <c r="N167">
        <v>75</v>
      </c>
      <c r="O167">
        <v>75</v>
      </c>
    </row>
    <row r="168" spans="1:15" x14ac:dyDescent="0.3">
      <c r="A168">
        <v>21837</v>
      </c>
      <c r="B168" t="s">
        <v>1219</v>
      </c>
      <c r="C168" t="s">
        <v>1021</v>
      </c>
      <c r="D168">
        <v>69</v>
      </c>
      <c r="E168">
        <v>98</v>
      </c>
      <c r="F168">
        <v>27</v>
      </c>
      <c r="G168">
        <v>49</v>
      </c>
      <c r="H168">
        <v>66</v>
      </c>
      <c r="I168">
        <v>71</v>
      </c>
      <c r="J168">
        <v>47</v>
      </c>
      <c r="K168">
        <v>37</v>
      </c>
      <c r="L168">
        <v>209</v>
      </c>
      <c r="M168" s="71">
        <v>0.34841536808795254</v>
      </c>
      <c r="N168">
        <v>209</v>
      </c>
      <c r="O168">
        <v>209</v>
      </c>
    </row>
    <row r="169" spans="1:15" x14ac:dyDescent="0.3">
      <c r="A169">
        <v>21838</v>
      </c>
      <c r="B169" t="s">
        <v>1209</v>
      </c>
      <c r="C169" t="s">
        <v>1108</v>
      </c>
      <c r="D169">
        <v>0</v>
      </c>
      <c r="E169">
        <v>48</v>
      </c>
      <c r="F169">
        <v>0</v>
      </c>
      <c r="G169">
        <v>24</v>
      </c>
      <c r="H169">
        <v>29</v>
      </c>
      <c r="I169">
        <v>38</v>
      </c>
      <c r="J169">
        <v>51</v>
      </c>
      <c r="K169">
        <v>51</v>
      </c>
      <c r="L169">
        <v>80</v>
      </c>
      <c r="M169" s="71">
        <v>0.91023514912977599</v>
      </c>
      <c r="N169">
        <v>80</v>
      </c>
      <c r="O169">
        <v>80</v>
      </c>
    </row>
    <row r="170" spans="1:15" x14ac:dyDescent="0.3">
      <c r="A170">
        <v>21841</v>
      </c>
      <c r="B170" t="s">
        <v>1220</v>
      </c>
      <c r="C170" t="s">
        <v>1062</v>
      </c>
      <c r="D170">
        <v>0</v>
      </c>
      <c r="E170">
        <v>48</v>
      </c>
      <c r="F170">
        <v>114</v>
      </c>
      <c r="G170">
        <v>165</v>
      </c>
      <c r="H170">
        <v>52</v>
      </c>
      <c r="I170">
        <v>73</v>
      </c>
      <c r="J170">
        <v>36</v>
      </c>
      <c r="K170">
        <v>56</v>
      </c>
      <c r="L170">
        <v>202</v>
      </c>
      <c r="M170" s="71">
        <v>0.36048916797218855</v>
      </c>
      <c r="N170">
        <v>202</v>
      </c>
      <c r="O170">
        <v>202</v>
      </c>
    </row>
    <row r="171" spans="1:15" x14ac:dyDescent="0.3">
      <c r="A171">
        <v>21849</v>
      </c>
      <c r="B171" t="s">
        <v>1177</v>
      </c>
      <c r="C171" t="s">
        <v>1021</v>
      </c>
      <c r="D171">
        <v>30</v>
      </c>
      <c r="E171">
        <v>68</v>
      </c>
      <c r="F171">
        <v>85</v>
      </c>
      <c r="G171">
        <v>138</v>
      </c>
      <c r="H171">
        <v>51</v>
      </c>
      <c r="I171">
        <v>55</v>
      </c>
      <c r="J171">
        <v>21</v>
      </c>
      <c r="K171">
        <v>36</v>
      </c>
      <c r="L171">
        <v>187</v>
      </c>
      <c r="M171" s="71">
        <v>0.38940541139241758</v>
      </c>
      <c r="N171">
        <v>187</v>
      </c>
      <c r="O171">
        <v>187</v>
      </c>
    </row>
    <row r="172" spans="1:15" x14ac:dyDescent="0.3">
      <c r="A172">
        <v>21850</v>
      </c>
      <c r="B172" t="s">
        <v>1183</v>
      </c>
      <c r="C172" t="s">
        <v>1021</v>
      </c>
      <c r="D172">
        <v>36</v>
      </c>
      <c r="E172">
        <v>61</v>
      </c>
      <c r="F172">
        <v>15</v>
      </c>
      <c r="G172">
        <v>22</v>
      </c>
      <c r="H172">
        <v>65</v>
      </c>
      <c r="I172">
        <v>55</v>
      </c>
      <c r="J172">
        <v>45</v>
      </c>
      <c r="K172">
        <v>28</v>
      </c>
      <c r="L172">
        <v>161</v>
      </c>
      <c r="M172" s="71">
        <v>0.45229075733156571</v>
      </c>
      <c r="N172">
        <v>161</v>
      </c>
      <c r="O172">
        <v>161</v>
      </c>
    </row>
    <row r="173" spans="1:15" x14ac:dyDescent="0.3">
      <c r="A173">
        <v>21856</v>
      </c>
      <c r="B173" t="s">
        <v>1268</v>
      </c>
      <c r="C173" t="s">
        <v>1021</v>
      </c>
      <c r="D173">
        <v>14</v>
      </c>
      <c r="E173">
        <v>60</v>
      </c>
      <c r="F173">
        <v>0</v>
      </c>
      <c r="G173">
        <v>24</v>
      </c>
      <c r="H173">
        <v>15</v>
      </c>
      <c r="I173">
        <v>38</v>
      </c>
      <c r="J173">
        <v>0</v>
      </c>
      <c r="K173">
        <v>24</v>
      </c>
      <c r="L173">
        <v>29</v>
      </c>
      <c r="M173" s="71">
        <v>2.5109935148407616</v>
      </c>
      <c r="N173">
        <v>29</v>
      </c>
      <c r="O173">
        <v>29</v>
      </c>
    </row>
    <row r="174" spans="1:15" x14ac:dyDescent="0.3">
      <c r="A174">
        <v>21861</v>
      </c>
      <c r="B174" t="s">
        <v>1312</v>
      </c>
      <c r="C174" t="s">
        <v>1021</v>
      </c>
      <c r="D174">
        <v>15</v>
      </c>
      <c r="E174">
        <v>60</v>
      </c>
      <c r="F174">
        <v>0</v>
      </c>
      <c r="G174">
        <v>24</v>
      </c>
      <c r="H174">
        <v>35</v>
      </c>
      <c r="I174">
        <v>39</v>
      </c>
      <c r="J174">
        <v>2</v>
      </c>
      <c r="K174">
        <v>15</v>
      </c>
      <c r="L174">
        <v>52</v>
      </c>
      <c r="M174" s="71">
        <v>1.4003617678919631</v>
      </c>
      <c r="N174">
        <v>52</v>
      </c>
      <c r="O174">
        <v>52</v>
      </c>
    </row>
    <row r="175" spans="1:15" x14ac:dyDescent="0.3">
      <c r="A175">
        <v>21862</v>
      </c>
      <c r="B175" t="s">
        <v>1273</v>
      </c>
      <c r="C175" t="s">
        <v>1062</v>
      </c>
      <c r="D175">
        <v>58</v>
      </c>
      <c r="E175">
        <v>121</v>
      </c>
      <c r="F175">
        <v>0</v>
      </c>
      <c r="G175">
        <v>24</v>
      </c>
      <c r="H175">
        <v>0</v>
      </c>
      <c r="I175">
        <v>24</v>
      </c>
      <c r="J175">
        <v>0</v>
      </c>
      <c r="K175">
        <v>24</v>
      </c>
      <c r="L175">
        <v>58</v>
      </c>
      <c r="M175" s="71">
        <v>1.2554967574203808</v>
      </c>
      <c r="N175">
        <v>58</v>
      </c>
      <c r="O175">
        <v>58</v>
      </c>
    </row>
    <row r="176" spans="1:15" x14ac:dyDescent="0.3">
      <c r="A176">
        <v>21864</v>
      </c>
      <c r="B176" t="s">
        <v>1310</v>
      </c>
      <c r="C176" t="s">
        <v>1062</v>
      </c>
      <c r="D176">
        <v>50</v>
      </c>
      <c r="E176">
        <v>82</v>
      </c>
      <c r="F176">
        <v>0</v>
      </c>
      <c r="G176">
        <v>24</v>
      </c>
      <c r="H176">
        <v>0</v>
      </c>
      <c r="I176">
        <v>24</v>
      </c>
      <c r="J176">
        <v>0</v>
      </c>
      <c r="K176">
        <v>24</v>
      </c>
      <c r="L176">
        <v>50</v>
      </c>
      <c r="M176" s="71">
        <v>1.4563762386076418</v>
      </c>
      <c r="N176">
        <v>50</v>
      </c>
      <c r="O176">
        <v>50</v>
      </c>
    </row>
    <row r="177" spans="1:15" x14ac:dyDescent="0.3">
      <c r="A177">
        <v>21865</v>
      </c>
      <c r="B177" t="s">
        <v>1302</v>
      </c>
      <c r="C177" t="s">
        <v>1021</v>
      </c>
      <c r="D177">
        <v>0</v>
      </c>
      <c r="E177">
        <v>48</v>
      </c>
      <c r="F177">
        <v>17</v>
      </c>
      <c r="G177">
        <v>40</v>
      </c>
      <c r="H177">
        <v>27</v>
      </c>
      <c r="I177">
        <v>59</v>
      </c>
      <c r="J177">
        <v>0</v>
      </c>
      <c r="K177">
        <v>24</v>
      </c>
      <c r="L177">
        <v>44</v>
      </c>
      <c r="M177" s="71">
        <v>1.6549729984177746</v>
      </c>
      <c r="N177">
        <v>44</v>
      </c>
      <c r="O177">
        <v>44</v>
      </c>
    </row>
    <row r="178" spans="1:15" x14ac:dyDescent="0.3">
      <c r="A178">
        <v>21869</v>
      </c>
      <c r="B178" t="s">
        <v>1257</v>
      </c>
      <c r="C178" t="s">
        <v>1097</v>
      </c>
      <c r="D178">
        <v>29</v>
      </c>
      <c r="E178">
        <v>57</v>
      </c>
      <c r="F178">
        <v>43</v>
      </c>
      <c r="G178">
        <v>62</v>
      </c>
      <c r="H178">
        <v>26</v>
      </c>
      <c r="I178">
        <v>32</v>
      </c>
      <c r="J178">
        <v>25</v>
      </c>
      <c r="K178">
        <v>47</v>
      </c>
      <c r="L178">
        <v>123</v>
      </c>
      <c r="M178" s="71">
        <v>0.5920228612226186</v>
      </c>
      <c r="N178">
        <v>123</v>
      </c>
      <c r="O178">
        <v>123</v>
      </c>
    </row>
    <row r="179" spans="1:15" x14ac:dyDescent="0.3">
      <c r="A179">
        <v>21871</v>
      </c>
      <c r="B179" t="s">
        <v>1191</v>
      </c>
      <c r="C179" t="s">
        <v>1108</v>
      </c>
      <c r="D179">
        <v>14</v>
      </c>
      <c r="E179">
        <v>59</v>
      </c>
      <c r="F179">
        <v>26</v>
      </c>
      <c r="G179">
        <v>45</v>
      </c>
      <c r="H179">
        <v>192</v>
      </c>
      <c r="I179">
        <v>158</v>
      </c>
      <c r="J179">
        <v>8</v>
      </c>
      <c r="K179">
        <v>28</v>
      </c>
      <c r="L179">
        <v>240</v>
      </c>
      <c r="M179" s="71">
        <v>0.30341171637659203</v>
      </c>
      <c r="N179">
        <v>240</v>
      </c>
      <c r="O179">
        <v>240</v>
      </c>
    </row>
    <row r="180" spans="1:15" x14ac:dyDescent="0.3">
      <c r="A180">
        <v>21872</v>
      </c>
      <c r="B180" t="s">
        <v>1261</v>
      </c>
      <c r="C180" t="s">
        <v>1062</v>
      </c>
      <c r="D180">
        <v>0</v>
      </c>
      <c r="E180">
        <v>48</v>
      </c>
      <c r="F180">
        <v>62</v>
      </c>
      <c r="G180">
        <v>79</v>
      </c>
      <c r="H180">
        <v>0</v>
      </c>
      <c r="I180">
        <v>24</v>
      </c>
      <c r="J180">
        <v>30</v>
      </c>
      <c r="K180">
        <v>60</v>
      </c>
      <c r="L180">
        <v>92</v>
      </c>
      <c r="M180" s="71">
        <v>0.79150882533024003</v>
      </c>
      <c r="N180">
        <v>92</v>
      </c>
      <c r="O180">
        <v>92</v>
      </c>
    </row>
    <row r="181" spans="1:15" x14ac:dyDescent="0.3">
      <c r="A181">
        <v>21874</v>
      </c>
      <c r="B181" t="s">
        <v>1199</v>
      </c>
      <c r="C181" t="s">
        <v>1021</v>
      </c>
      <c r="D181">
        <v>72</v>
      </c>
      <c r="E181">
        <v>100</v>
      </c>
      <c r="F181">
        <v>30</v>
      </c>
      <c r="G181">
        <v>32</v>
      </c>
      <c r="H181">
        <v>48</v>
      </c>
      <c r="I181">
        <v>53</v>
      </c>
      <c r="J181">
        <v>85</v>
      </c>
      <c r="K181">
        <v>85</v>
      </c>
      <c r="L181">
        <v>235</v>
      </c>
      <c r="M181" s="71">
        <v>0.30986728481013653</v>
      </c>
      <c r="N181">
        <v>235</v>
      </c>
      <c r="O181">
        <v>235</v>
      </c>
    </row>
    <row r="182" spans="1:15" x14ac:dyDescent="0.3">
      <c r="A182">
        <v>21902</v>
      </c>
      <c r="B182" t="s">
        <v>1366</v>
      </c>
      <c r="C182" t="s">
        <v>1017</v>
      </c>
      <c r="D182">
        <v>7</v>
      </c>
      <c r="E182">
        <v>45</v>
      </c>
      <c r="F182">
        <v>0</v>
      </c>
      <c r="G182">
        <v>24</v>
      </c>
      <c r="H182">
        <v>0</v>
      </c>
      <c r="I182">
        <v>24</v>
      </c>
      <c r="J182">
        <v>0</v>
      </c>
      <c r="K182">
        <v>24</v>
      </c>
      <c r="L182">
        <v>7</v>
      </c>
      <c r="M182" s="71">
        <v>10.402687418626012</v>
      </c>
      <c r="N182">
        <v>7</v>
      </c>
      <c r="O182">
        <v>7</v>
      </c>
    </row>
    <row r="183" spans="1:15" x14ac:dyDescent="0.3">
      <c r="A183">
        <v>21903</v>
      </c>
      <c r="B183" t="s">
        <v>1143</v>
      </c>
      <c r="C183" t="s">
        <v>1017</v>
      </c>
      <c r="D183">
        <v>37</v>
      </c>
      <c r="E183">
        <v>94</v>
      </c>
      <c r="F183">
        <v>16</v>
      </c>
      <c r="G183">
        <v>44</v>
      </c>
      <c r="H183">
        <v>60</v>
      </c>
      <c r="I183">
        <v>89</v>
      </c>
      <c r="J183">
        <v>55</v>
      </c>
      <c r="K183">
        <v>85</v>
      </c>
      <c r="L183">
        <v>168</v>
      </c>
      <c r="M183" s="71">
        <v>0.43344530910941714</v>
      </c>
      <c r="N183">
        <v>168</v>
      </c>
      <c r="O183">
        <v>168</v>
      </c>
    </row>
    <row r="184" spans="1:15" x14ac:dyDescent="0.3">
      <c r="A184">
        <v>21912</v>
      </c>
      <c r="B184" t="s">
        <v>1239</v>
      </c>
      <c r="C184" t="s">
        <v>1017</v>
      </c>
      <c r="D184">
        <v>0</v>
      </c>
      <c r="E184">
        <v>44</v>
      </c>
      <c r="F184">
        <v>0</v>
      </c>
      <c r="G184">
        <v>22</v>
      </c>
      <c r="H184">
        <v>100</v>
      </c>
      <c r="I184">
        <v>115</v>
      </c>
      <c r="J184">
        <v>20</v>
      </c>
      <c r="K184">
        <v>41</v>
      </c>
      <c r="L184">
        <v>120</v>
      </c>
      <c r="M184" s="71">
        <v>0.60682343275318407</v>
      </c>
      <c r="N184">
        <v>120</v>
      </c>
      <c r="O184">
        <v>120</v>
      </c>
    </row>
    <row r="185" spans="1:15" x14ac:dyDescent="0.3">
      <c r="A185">
        <v>21913</v>
      </c>
      <c r="B185" t="s">
        <v>1248</v>
      </c>
      <c r="C185" t="s">
        <v>1017</v>
      </c>
      <c r="D185">
        <v>26</v>
      </c>
      <c r="E185">
        <v>63</v>
      </c>
      <c r="F185">
        <v>21</v>
      </c>
      <c r="G185">
        <v>48</v>
      </c>
      <c r="H185">
        <v>23</v>
      </c>
      <c r="I185">
        <v>41</v>
      </c>
      <c r="J185">
        <v>0</v>
      </c>
      <c r="K185">
        <v>24</v>
      </c>
      <c r="L185">
        <v>70</v>
      </c>
      <c r="M185" s="71">
        <v>1.0402687418626011</v>
      </c>
      <c r="N185">
        <v>70</v>
      </c>
      <c r="O185">
        <v>70</v>
      </c>
    </row>
    <row r="186" spans="1:15" x14ac:dyDescent="0.3">
      <c r="A186">
        <v>21914</v>
      </c>
      <c r="B186" t="s">
        <v>1333</v>
      </c>
      <c r="C186" t="s">
        <v>1017</v>
      </c>
      <c r="D186">
        <v>8</v>
      </c>
      <c r="E186">
        <v>51</v>
      </c>
      <c r="F186">
        <v>0</v>
      </c>
      <c r="G186">
        <v>24</v>
      </c>
      <c r="H186">
        <v>13</v>
      </c>
      <c r="I186">
        <v>29</v>
      </c>
      <c r="J186">
        <v>22</v>
      </c>
      <c r="K186">
        <v>39</v>
      </c>
      <c r="L186">
        <v>43</v>
      </c>
      <c r="M186" s="71">
        <v>1.6934607425670252</v>
      </c>
      <c r="N186">
        <v>43</v>
      </c>
      <c r="O186">
        <v>43</v>
      </c>
    </row>
    <row r="187" spans="1:15" x14ac:dyDescent="0.3">
      <c r="A187">
        <v>21915</v>
      </c>
      <c r="B187" t="s">
        <v>1175</v>
      </c>
      <c r="C187" t="s">
        <v>1017</v>
      </c>
      <c r="D187">
        <v>24</v>
      </c>
      <c r="E187">
        <v>50</v>
      </c>
      <c r="F187">
        <v>57</v>
      </c>
      <c r="G187">
        <v>69</v>
      </c>
      <c r="H187">
        <v>103</v>
      </c>
      <c r="I187">
        <v>133</v>
      </c>
      <c r="J187">
        <v>2</v>
      </c>
      <c r="K187">
        <v>15</v>
      </c>
      <c r="L187">
        <v>186</v>
      </c>
      <c r="M187" s="71">
        <v>0.39149898887302192</v>
      </c>
      <c r="N187">
        <v>186</v>
      </c>
      <c r="O187">
        <v>186</v>
      </c>
    </row>
    <row r="188" spans="1:15" x14ac:dyDescent="0.3">
      <c r="A188">
        <v>21917</v>
      </c>
      <c r="B188" t="s">
        <v>1222</v>
      </c>
      <c r="C188" t="s">
        <v>1017</v>
      </c>
      <c r="D188">
        <v>12</v>
      </c>
      <c r="E188">
        <v>62</v>
      </c>
      <c r="F188">
        <v>44</v>
      </c>
      <c r="G188">
        <v>61</v>
      </c>
      <c r="H188">
        <v>14</v>
      </c>
      <c r="I188">
        <v>36</v>
      </c>
      <c r="J188">
        <v>40</v>
      </c>
      <c r="K188">
        <v>50</v>
      </c>
      <c r="L188">
        <v>110</v>
      </c>
      <c r="M188" s="71">
        <v>0.66198919936710987</v>
      </c>
      <c r="N188">
        <v>110</v>
      </c>
      <c r="O188">
        <v>110</v>
      </c>
    </row>
    <row r="189" spans="1:15" x14ac:dyDescent="0.3">
      <c r="A189">
        <v>21918</v>
      </c>
      <c r="B189" t="s">
        <v>1168</v>
      </c>
      <c r="C189" t="s">
        <v>1017</v>
      </c>
      <c r="D189">
        <v>105</v>
      </c>
      <c r="E189">
        <v>110</v>
      </c>
      <c r="F189">
        <v>10</v>
      </c>
      <c r="G189">
        <v>27</v>
      </c>
      <c r="H189">
        <v>76</v>
      </c>
      <c r="I189">
        <v>80</v>
      </c>
      <c r="J189">
        <v>33</v>
      </c>
      <c r="K189">
        <v>42</v>
      </c>
      <c r="L189">
        <v>224</v>
      </c>
      <c r="M189" s="71">
        <v>0.32508398183206288</v>
      </c>
      <c r="N189">
        <v>224</v>
      </c>
      <c r="O189">
        <v>224</v>
      </c>
    </row>
    <row r="190" spans="1:15" x14ac:dyDescent="0.3">
      <c r="A190">
        <v>21919</v>
      </c>
      <c r="B190" t="s">
        <v>1235</v>
      </c>
      <c r="C190" t="s">
        <v>1017</v>
      </c>
      <c r="D190">
        <v>3</v>
      </c>
      <c r="E190">
        <v>42</v>
      </c>
      <c r="F190">
        <v>0</v>
      </c>
      <c r="G190">
        <v>24</v>
      </c>
      <c r="H190">
        <v>55</v>
      </c>
      <c r="I190">
        <v>65</v>
      </c>
      <c r="J190">
        <v>0</v>
      </c>
      <c r="K190">
        <v>24</v>
      </c>
      <c r="L190">
        <v>58</v>
      </c>
      <c r="M190" s="71">
        <v>1.2554967574203808</v>
      </c>
      <c r="N190">
        <v>58</v>
      </c>
      <c r="O190">
        <v>58</v>
      </c>
    </row>
    <row r="191" spans="1:15" x14ac:dyDescent="0.3">
      <c r="A191">
        <v>21920</v>
      </c>
      <c r="B191" t="s">
        <v>1318</v>
      </c>
      <c r="C191" t="s">
        <v>1017</v>
      </c>
      <c r="D191">
        <v>0</v>
      </c>
      <c r="E191">
        <v>48</v>
      </c>
      <c r="F191">
        <v>19</v>
      </c>
      <c r="G191">
        <v>41</v>
      </c>
      <c r="H191">
        <v>0</v>
      </c>
      <c r="I191">
        <v>24</v>
      </c>
      <c r="J191">
        <v>30</v>
      </c>
      <c r="K191">
        <v>59</v>
      </c>
      <c r="L191">
        <v>49</v>
      </c>
      <c r="M191" s="71">
        <v>1.4860982026608589</v>
      </c>
      <c r="N191">
        <v>49</v>
      </c>
      <c r="O191">
        <v>49</v>
      </c>
    </row>
    <row r="192" spans="1:15" x14ac:dyDescent="0.3">
      <c r="A192">
        <v>21930</v>
      </c>
      <c r="B192" t="s">
        <v>1341</v>
      </c>
      <c r="C192" t="s">
        <v>1017</v>
      </c>
      <c r="D192">
        <v>18</v>
      </c>
      <c r="E192">
        <v>65</v>
      </c>
      <c r="F192">
        <v>0</v>
      </c>
      <c r="G192">
        <v>24</v>
      </c>
      <c r="H192">
        <v>0</v>
      </c>
      <c r="I192">
        <v>24</v>
      </c>
      <c r="J192">
        <v>0</v>
      </c>
      <c r="K192">
        <v>24</v>
      </c>
      <c r="L192">
        <v>18</v>
      </c>
      <c r="M192" s="71">
        <v>4.0454895516878935</v>
      </c>
      <c r="N192">
        <v>18</v>
      </c>
      <c r="O192">
        <v>18</v>
      </c>
    </row>
    <row r="193" spans="1:15" x14ac:dyDescent="0.3">
      <c r="A193" t="s">
        <v>1416</v>
      </c>
      <c r="L193">
        <f>SUBTOTAL(109,RemovedHighRSEmostNeedTbl[Total])</f>
        <v>17031</v>
      </c>
      <c r="M193"/>
      <c r="N193">
        <f>SUBTOTAL(109,RemovedHighRSEmostNeedTbl[Adjusted Total])</f>
        <v>17031</v>
      </c>
      <c r="O193">
        <f>SUBTOTAL(109,RemovedHighRSEmostNeedTbl[Alternate Adj. Total])</f>
        <v>17031</v>
      </c>
    </row>
  </sheetData>
  <pageMargins left="0.7" right="0.7" top="0.75" bottom="0.75" header="0.3" footer="0.3"/>
  <tableParts count="2">
    <tablePart r:id="rId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469"/>
  <sheetViews>
    <sheetView workbookViewId="0">
      <selection activeCell="A2" sqref="A2"/>
    </sheetView>
  </sheetViews>
  <sheetFormatPr defaultRowHeight="14.4" x14ac:dyDescent="0.3"/>
  <cols>
    <col min="1" max="1" width="10.21875" customWidth="1"/>
    <col min="2" max="2" width="22" bestFit="1" customWidth="1"/>
    <col min="3" max="3" width="13.21875" bestFit="1" customWidth="1"/>
  </cols>
  <sheetData>
    <row r="1" spans="1:3" x14ac:dyDescent="0.3">
      <c r="A1" s="5" t="s">
        <v>985</v>
      </c>
      <c r="B1" s="6" t="s">
        <v>986</v>
      </c>
      <c r="C1" s="7" t="s">
        <v>987</v>
      </c>
    </row>
    <row r="2" spans="1:3" x14ac:dyDescent="0.3">
      <c r="A2" s="1">
        <v>20783</v>
      </c>
      <c r="B2" s="1" t="s">
        <v>988</v>
      </c>
      <c r="C2" s="2" t="s">
        <v>989</v>
      </c>
    </row>
    <row r="3" spans="1:3" x14ac:dyDescent="0.3">
      <c r="A3" s="1">
        <v>20906</v>
      </c>
      <c r="B3" s="3" t="s">
        <v>990</v>
      </c>
      <c r="C3" s="4" t="s">
        <v>991</v>
      </c>
    </row>
    <row r="4" spans="1:3" x14ac:dyDescent="0.3">
      <c r="A4" s="1">
        <v>20902</v>
      </c>
      <c r="B4" s="1" t="s">
        <v>990</v>
      </c>
      <c r="C4" s="2" t="s">
        <v>991</v>
      </c>
    </row>
    <row r="5" spans="1:3" x14ac:dyDescent="0.3">
      <c r="A5" s="1">
        <v>21224</v>
      </c>
      <c r="B5" s="3" t="s">
        <v>992</v>
      </c>
      <c r="C5" s="4" t="s">
        <v>993</v>
      </c>
    </row>
    <row r="6" spans="1:3" x14ac:dyDescent="0.3">
      <c r="A6" s="1">
        <v>21215</v>
      </c>
      <c r="B6" s="1" t="s">
        <v>992</v>
      </c>
      <c r="C6" s="2" t="s">
        <v>993</v>
      </c>
    </row>
    <row r="7" spans="1:3" x14ac:dyDescent="0.3">
      <c r="A7" s="1">
        <v>20877</v>
      </c>
      <c r="B7" s="3" t="s">
        <v>994</v>
      </c>
      <c r="C7" s="4" t="s">
        <v>991</v>
      </c>
    </row>
    <row r="8" spans="1:3" x14ac:dyDescent="0.3">
      <c r="A8" s="1">
        <v>20904</v>
      </c>
      <c r="B8" s="1" t="s">
        <v>990</v>
      </c>
      <c r="C8" s="2" t="s">
        <v>991</v>
      </c>
    </row>
    <row r="9" spans="1:3" x14ac:dyDescent="0.3">
      <c r="A9" s="1">
        <v>20782</v>
      </c>
      <c r="B9" s="3" t="s">
        <v>988</v>
      </c>
      <c r="C9" s="4" t="s">
        <v>989</v>
      </c>
    </row>
    <row r="10" spans="1:3" x14ac:dyDescent="0.3">
      <c r="A10" s="1">
        <v>21061</v>
      </c>
      <c r="B10" s="1" t="s">
        <v>995</v>
      </c>
      <c r="C10" s="2" t="s">
        <v>996</v>
      </c>
    </row>
    <row r="11" spans="1:3" x14ac:dyDescent="0.3">
      <c r="A11" s="1">
        <v>20903</v>
      </c>
      <c r="B11" s="3" t="s">
        <v>990</v>
      </c>
      <c r="C11" s="4" t="s">
        <v>991</v>
      </c>
    </row>
    <row r="12" spans="1:3" x14ac:dyDescent="0.3">
      <c r="A12" s="1">
        <v>20706</v>
      </c>
      <c r="B12" s="1" t="s">
        <v>997</v>
      </c>
      <c r="C12" s="2" t="s">
        <v>989</v>
      </c>
    </row>
    <row r="13" spans="1:3" x14ac:dyDescent="0.3">
      <c r="A13" s="1">
        <v>21740</v>
      </c>
      <c r="B13" s="3" t="s">
        <v>998</v>
      </c>
      <c r="C13" s="4" t="s">
        <v>999</v>
      </c>
    </row>
    <row r="14" spans="1:3" x14ac:dyDescent="0.3">
      <c r="A14" s="1">
        <v>20874</v>
      </c>
      <c r="B14" s="1" t="s">
        <v>1000</v>
      </c>
      <c r="C14" s="2" t="s">
        <v>991</v>
      </c>
    </row>
    <row r="15" spans="1:3" x14ac:dyDescent="0.3">
      <c r="A15" s="1">
        <v>20744</v>
      </c>
      <c r="B15" s="3" t="s">
        <v>1001</v>
      </c>
      <c r="C15" s="4" t="s">
        <v>989</v>
      </c>
    </row>
    <row r="16" spans="1:3" x14ac:dyDescent="0.3">
      <c r="A16" s="1">
        <v>21234</v>
      </c>
      <c r="B16" s="1" t="s">
        <v>1002</v>
      </c>
      <c r="C16" s="2" t="s">
        <v>992</v>
      </c>
    </row>
    <row r="17" spans="1:3" x14ac:dyDescent="0.3">
      <c r="A17" s="1">
        <v>21222</v>
      </c>
      <c r="B17" s="3" t="s">
        <v>1003</v>
      </c>
      <c r="C17" s="4" t="s">
        <v>992</v>
      </c>
    </row>
    <row r="18" spans="1:3" x14ac:dyDescent="0.3">
      <c r="A18" s="1">
        <v>20784</v>
      </c>
      <c r="B18" s="1" t="s">
        <v>988</v>
      </c>
      <c r="C18" s="2" t="s">
        <v>989</v>
      </c>
    </row>
    <row r="19" spans="1:3" x14ac:dyDescent="0.3">
      <c r="A19" s="1">
        <v>20737</v>
      </c>
      <c r="B19" s="3" t="s">
        <v>1004</v>
      </c>
      <c r="C19" s="4" t="s">
        <v>989</v>
      </c>
    </row>
    <row r="20" spans="1:3" x14ac:dyDescent="0.3">
      <c r="A20" s="1">
        <v>20745</v>
      </c>
      <c r="B20" s="1" t="s">
        <v>1005</v>
      </c>
      <c r="C20" s="2" t="s">
        <v>989</v>
      </c>
    </row>
    <row r="21" spans="1:3" x14ac:dyDescent="0.3">
      <c r="A21" s="1">
        <v>21221</v>
      </c>
      <c r="B21" s="3" t="s">
        <v>1006</v>
      </c>
      <c r="C21" s="4" t="s">
        <v>992</v>
      </c>
    </row>
    <row r="22" spans="1:3" x14ac:dyDescent="0.3">
      <c r="A22" s="1">
        <v>21117</v>
      </c>
      <c r="B22" s="1" t="s">
        <v>1007</v>
      </c>
      <c r="C22" s="2" t="s">
        <v>992</v>
      </c>
    </row>
    <row r="23" spans="1:3" x14ac:dyDescent="0.3">
      <c r="A23" s="1">
        <v>21229</v>
      </c>
      <c r="B23" s="3" t="s">
        <v>992</v>
      </c>
      <c r="C23" s="4" t="s">
        <v>993</v>
      </c>
    </row>
    <row r="24" spans="1:3" x14ac:dyDescent="0.3">
      <c r="A24" s="1">
        <v>20785</v>
      </c>
      <c r="B24" s="1" t="s">
        <v>988</v>
      </c>
      <c r="C24" s="2" t="s">
        <v>989</v>
      </c>
    </row>
    <row r="25" spans="1:3" x14ac:dyDescent="0.3">
      <c r="A25" s="1">
        <v>21207</v>
      </c>
      <c r="B25" s="3" t="s">
        <v>1008</v>
      </c>
      <c r="C25" s="4" t="s">
        <v>992</v>
      </c>
    </row>
    <row r="26" spans="1:3" x14ac:dyDescent="0.3">
      <c r="A26" s="1">
        <v>20743</v>
      </c>
      <c r="B26" s="1" t="s">
        <v>1009</v>
      </c>
      <c r="C26" s="2" t="s">
        <v>989</v>
      </c>
    </row>
    <row r="27" spans="1:3" x14ac:dyDescent="0.3">
      <c r="A27" s="1">
        <v>21218</v>
      </c>
      <c r="B27" s="3" t="s">
        <v>992</v>
      </c>
      <c r="C27" s="4" t="s">
        <v>993</v>
      </c>
    </row>
    <row r="28" spans="1:3" x14ac:dyDescent="0.3">
      <c r="A28" s="1">
        <v>21220</v>
      </c>
      <c r="B28" s="1" t="s">
        <v>1010</v>
      </c>
      <c r="C28" s="2" t="s">
        <v>992</v>
      </c>
    </row>
    <row r="29" spans="1:3" x14ac:dyDescent="0.3">
      <c r="A29" s="1">
        <v>21217</v>
      </c>
      <c r="B29" s="3" t="s">
        <v>992</v>
      </c>
      <c r="C29" s="4" t="s">
        <v>993</v>
      </c>
    </row>
    <row r="30" spans="1:3" x14ac:dyDescent="0.3">
      <c r="A30" s="1">
        <v>20901</v>
      </c>
      <c r="B30" s="1" t="s">
        <v>990</v>
      </c>
      <c r="C30" s="2" t="s">
        <v>991</v>
      </c>
    </row>
    <row r="31" spans="1:3" x14ac:dyDescent="0.3">
      <c r="A31" s="1">
        <v>21225</v>
      </c>
      <c r="B31" s="3" t="s">
        <v>1011</v>
      </c>
      <c r="C31" s="4" t="s">
        <v>993</v>
      </c>
    </row>
    <row r="32" spans="1:3" x14ac:dyDescent="0.3">
      <c r="A32" s="1">
        <v>20747</v>
      </c>
      <c r="B32" s="1" t="s">
        <v>1012</v>
      </c>
      <c r="C32" s="2" t="s">
        <v>989</v>
      </c>
    </row>
    <row r="33" spans="1:3" x14ac:dyDescent="0.3">
      <c r="A33" s="1">
        <v>20886</v>
      </c>
      <c r="B33" s="3" t="s">
        <v>1013</v>
      </c>
      <c r="C33" s="4" t="s">
        <v>991</v>
      </c>
    </row>
    <row r="34" spans="1:3" x14ac:dyDescent="0.3">
      <c r="A34" s="1">
        <v>21206</v>
      </c>
      <c r="B34" s="1" t="s">
        <v>992</v>
      </c>
      <c r="C34" s="2" t="s">
        <v>993</v>
      </c>
    </row>
    <row r="35" spans="1:3" x14ac:dyDescent="0.3">
      <c r="A35" s="1">
        <v>21244</v>
      </c>
      <c r="B35" s="3" t="s">
        <v>1014</v>
      </c>
      <c r="C35" s="4" t="s">
        <v>992</v>
      </c>
    </row>
    <row r="36" spans="1:3" x14ac:dyDescent="0.3">
      <c r="A36" s="1">
        <v>20748</v>
      </c>
      <c r="B36" s="1" t="s">
        <v>1015</v>
      </c>
      <c r="C36" s="2" t="s">
        <v>989</v>
      </c>
    </row>
    <row r="37" spans="1:3" x14ac:dyDescent="0.3">
      <c r="A37" s="1">
        <v>21921</v>
      </c>
      <c r="B37" s="3" t="s">
        <v>1016</v>
      </c>
      <c r="C37" s="4" t="s">
        <v>1017</v>
      </c>
    </row>
    <row r="38" spans="1:3" x14ac:dyDescent="0.3">
      <c r="A38" s="1">
        <v>20912</v>
      </c>
      <c r="B38" s="1" t="s">
        <v>1018</v>
      </c>
      <c r="C38" s="2" t="s">
        <v>991</v>
      </c>
    </row>
    <row r="39" spans="1:3" x14ac:dyDescent="0.3">
      <c r="A39" s="1">
        <v>20774</v>
      </c>
      <c r="B39" s="3" t="s">
        <v>1019</v>
      </c>
      <c r="C39" s="4" t="s">
        <v>989</v>
      </c>
    </row>
    <row r="40" spans="1:3" x14ac:dyDescent="0.3">
      <c r="A40" s="1">
        <v>21804</v>
      </c>
      <c r="B40" s="1" t="s">
        <v>1020</v>
      </c>
      <c r="C40" s="2" t="s">
        <v>1021</v>
      </c>
    </row>
    <row r="41" spans="1:3" x14ac:dyDescent="0.3">
      <c r="A41" s="1">
        <v>21237</v>
      </c>
      <c r="B41" s="3" t="s">
        <v>1022</v>
      </c>
      <c r="C41" s="4" t="s">
        <v>992</v>
      </c>
    </row>
    <row r="42" spans="1:3" x14ac:dyDescent="0.3">
      <c r="A42" s="1">
        <v>20878</v>
      </c>
      <c r="B42" s="1" t="s">
        <v>994</v>
      </c>
      <c r="C42" s="2" t="s">
        <v>991</v>
      </c>
    </row>
    <row r="43" spans="1:3" x14ac:dyDescent="0.3">
      <c r="A43" s="1">
        <v>20707</v>
      </c>
      <c r="B43" s="3" t="s">
        <v>1023</v>
      </c>
      <c r="C43" s="4" t="s">
        <v>989</v>
      </c>
    </row>
    <row r="44" spans="1:3" x14ac:dyDescent="0.3">
      <c r="A44" s="1">
        <v>20770</v>
      </c>
      <c r="B44" s="1" t="s">
        <v>1024</v>
      </c>
      <c r="C44" s="2" t="s">
        <v>989</v>
      </c>
    </row>
    <row r="45" spans="1:3" x14ac:dyDescent="0.3">
      <c r="A45" s="1">
        <v>21227</v>
      </c>
      <c r="B45" s="3" t="s">
        <v>1025</v>
      </c>
      <c r="C45" s="4" t="s">
        <v>992</v>
      </c>
    </row>
    <row r="46" spans="1:3" x14ac:dyDescent="0.3">
      <c r="A46" s="1">
        <v>21223</v>
      </c>
      <c r="B46" s="1" t="s">
        <v>992</v>
      </c>
      <c r="C46" s="2" t="s">
        <v>993</v>
      </c>
    </row>
    <row r="47" spans="1:3" x14ac:dyDescent="0.3">
      <c r="A47" s="1">
        <v>20705</v>
      </c>
      <c r="B47" s="3" t="s">
        <v>1026</v>
      </c>
      <c r="C47" s="4" t="s">
        <v>989</v>
      </c>
    </row>
    <row r="48" spans="1:3" x14ac:dyDescent="0.3">
      <c r="A48" s="1">
        <v>21703</v>
      </c>
      <c r="B48" s="1" t="s">
        <v>1027</v>
      </c>
      <c r="C48" s="2" t="s">
        <v>1027</v>
      </c>
    </row>
    <row r="49" spans="1:3" x14ac:dyDescent="0.3">
      <c r="A49" s="1">
        <v>21136</v>
      </c>
      <c r="B49" s="3" t="s">
        <v>1028</v>
      </c>
      <c r="C49" s="4" t="s">
        <v>992</v>
      </c>
    </row>
    <row r="50" spans="1:3" x14ac:dyDescent="0.3">
      <c r="A50" s="1">
        <v>20746</v>
      </c>
      <c r="B50" s="1" t="s">
        <v>1029</v>
      </c>
      <c r="C50" s="2" t="s">
        <v>989</v>
      </c>
    </row>
    <row r="51" spans="1:3" x14ac:dyDescent="0.3">
      <c r="A51" s="1">
        <v>21122</v>
      </c>
      <c r="B51" s="3" t="s">
        <v>1030</v>
      </c>
      <c r="C51" s="4" t="s">
        <v>996</v>
      </c>
    </row>
    <row r="52" spans="1:3" x14ac:dyDescent="0.3">
      <c r="A52" s="1">
        <v>21502</v>
      </c>
      <c r="B52" s="1" t="s">
        <v>1031</v>
      </c>
      <c r="C52" s="2" t="s">
        <v>1032</v>
      </c>
    </row>
    <row r="53" spans="1:3" x14ac:dyDescent="0.3">
      <c r="A53" s="1">
        <v>20853</v>
      </c>
      <c r="B53" s="3" t="s">
        <v>1033</v>
      </c>
      <c r="C53" s="4" t="s">
        <v>991</v>
      </c>
    </row>
    <row r="54" spans="1:3" x14ac:dyDescent="0.3">
      <c r="A54" s="1">
        <v>21801</v>
      </c>
      <c r="B54" s="1" t="s">
        <v>1020</v>
      </c>
      <c r="C54" s="2" t="s">
        <v>1021</v>
      </c>
    </row>
    <row r="55" spans="1:3" x14ac:dyDescent="0.3">
      <c r="A55" s="1">
        <v>20772</v>
      </c>
      <c r="B55" s="3" t="s">
        <v>1019</v>
      </c>
      <c r="C55" s="4" t="s">
        <v>989</v>
      </c>
    </row>
    <row r="56" spans="1:3" x14ac:dyDescent="0.3">
      <c r="A56" s="1">
        <v>21742</v>
      </c>
      <c r="B56" s="1" t="s">
        <v>998</v>
      </c>
      <c r="C56" s="2" t="s">
        <v>999</v>
      </c>
    </row>
    <row r="57" spans="1:3" x14ac:dyDescent="0.3">
      <c r="A57" s="1">
        <v>20708</v>
      </c>
      <c r="B57" s="3" t="s">
        <v>1023</v>
      </c>
      <c r="C57" s="4" t="s">
        <v>989</v>
      </c>
    </row>
    <row r="58" spans="1:3" x14ac:dyDescent="0.3">
      <c r="A58" s="1">
        <v>21702</v>
      </c>
      <c r="B58" s="1" t="s">
        <v>1027</v>
      </c>
      <c r="C58" s="2" t="s">
        <v>1027</v>
      </c>
    </row>
    <row r="59" spans="1:3" x14ac:dyDescent="0.3">
      <c r="A59" s="1">
        <v>20850</v>
      </c>
      <c r="B59" s="3" t="s">
        <v>1033</v>
      </c>
      <c r="C59" s="4" t="s">
        <v>991</v>
      </c>
    </row>
    <row r="60" spans="1:3" x14ac:dyDescent="0.3">
      <c r="A60" s="1">
        <v>21216</v>
      </c>
      <c r="B60" s="1" t="s">
        <v>992</v>
      </c>
      <c r="C60" s="2" t="s">
        <v>993</v>
      </c>
    </row>
    <row r="61" spans="1:3" x14ac:dyDescent="0.3">
      <c r="A61" s="1">
        <v>20740</v>
      </c>
      <c r="B61" s="3" t="s">
        <v>1034</v>
      </c>
      <c r="C61" s="4" t="s">
        <v>989</v>
      </c>
    </row>
    <row r="62" spans="1:3" x14ac:dyDescent="0.3">
      <c r="A62" s="1">
        <v>21228</v>
      </c>
      <c r="B62" s="1" t="s">
        <v>1035</v>
      </c>
      <c r="C62" s="2" t="s">
        <v>992</v>
      </c>
    </row>
    <row r="63" spans="1:3" x14ac:dyDescent="0.3">
      <c r="A63" s="1">
        <v>21060</v>
      </c>
      <c r="B63" s="3" t="s">
        <v>995</v>
      </c>
      <c r="C63" s="4" t="s">
        <v>996</v>
      </c>
    </row>
    <row r="64" spans="1:3" x14ac:dyDescent="0.3">
      <c r="A64" s="1">
        <v>21213</v>
      </c>
      <c r="B64" s="1" t="s">
        <v>992</v>
      </c>
      <c r="C64" s="2" t="s">
        <v>993</v>
      </c>
    </row>
    <row r="65" spans="1:3" x14ac:dyDescent="0.3">
      <c r="A65" s="1">
        <v>20735</v>
      </c>
      <c r="B65" s="3" t="s">
        <v>1036</v>
      </c>
      <c r="C65" s="4" t="s">
        <v>989</v>
      </c>
    </row>
    <row r="66" spans="1:3" x14ac:dyDescent="0.3">
      <c r="A66" s="1">
        <v>20910</v>
      </c>
      <c r="B66" s="1" t="s">
        <v>990</v>
      </c>
      <c r="C66" s="2" t="s">
        <v>991</v>
      </c>
    </row>
    <row r="67" spans="1:3" x14ac:dyDescent="0.3">
      <c r="A67" s="1">
        <v>21144</v>
      </c>
      <c r="B67" s="3" t="s">
        <v>1037</v>
      </c>
      <c r="C67" s="4" t="s">
        <v>996</v>
      </c>
    </row>
    <row r="68" spans="1:3" x14ac:dyDescent="0.3">
      <c r="A68" s="1">
        <v>20723</v>
      </c>
      <c r="B68" s="1" t="s">
        <v>1023</v>
      </c>
      <c r="C68" s="2" t="s">
        <v>1038</v>
      </c>
    </row>
    <row r="69" spans="1:3" x14ac:dyDescent="0.3">
      <c r="A69" s="1">
        <v>20852</v>
      </c>
      <c r="B69" s="3" t="s">
        <v>1033</v>
      </c>
      <c r="C69" s="4" t="s">
        <v>991</v>
      </c>
    </row>
    <row r="70" spans="1:3" x14ac:dyDescent="0.3">
      <c r="A70" s="1">
        <v>21701</v>
      </c>
      <c r="B70" s="1" t="s">
        <v>1027</v>
      </c>
      <c r="C70" s="2" t="s">
        <v>1027</v>
      </c>
    </row>
    <row r="71" spans="1:3" x14ac:dyDescent="0.3">
      <c r="A71" s="1">
        <v>20851</v>
      </c>
      <c r="B71" s="3" t="s">
        <v>1033</v>
      </c>
      <c r="C71" s="4" t="s">
        <v>991</v>
      </c>
    </row>
    <row r="72" spans="1:3" x14ac:dyDescent="0.3">
      <c r="A72" s="1">
        <v>21075</v>
      </c>
      <c r="B72" s="1" t="s">
        <v>1039</v>
      </c>
      <c r="C72" s="2" t="s">
        <v>1038</v>
      </c>
    </row>
    <row r="73" spans="1:3" x14ac:dyDescent="0.3">
      <c r="A73" s="1">
        <v>21230</v>
      </c>
      <c r="B73" s="3" t="s">
        <v>992</v>
      </c>
      <c r="C73" s="4" t="s">
        <v>993</v>
      </c>
    </row>
    <row r="74" spans="1:3" x14ac:dyDescent="0.3">
      <c r="A74" s="1">
        <v>21212</v>
      </c>
      <c r="B74" s="1" t="s">
        <v>992</v>
      </c>
      <c r="C74" s="2" t="s">
        <v>993</v>
      </c>
    </row>
    <row r="75" spans="1:3" x14ac:dyDescent="0.3">
      <c r="A75" s="1">
        <v>21157</v>
      </c>
      <c r="B75" s="3" t="s">
        <v>1040</v>
      </c>
      <c r="C75" s="4" t="s">
        <v>1041</v>
      </c>
    </row>
    <row r="76" spans="1:3" x14ac:dyDescent="0.3">
      <c r="A76" s="1">
        <v>21403</v>
      </c>
      <c r="B76" s="1" t="s">
        <v>1042</v>
      </c>
      <c r="C76" s="2" t="s">
        <v>996</v>
      </c>
    </row>
    <row r="77" spans="1:3" x14ac:dyDescent="0.3">
      <c r="A77" s="1">
        <v>21401</v>
      </c>
      <c r="B77" s="3" t="s">
        <v>1042</v>
      </c>
      <c r="C77" s="4" t="s">
        <v>996</v>
      </c>
    </row>
    <row r="78" spans="1:3" x14ac:dyDescent="0.3">
      <c r="A78" s="1">
        <v>20879</v>
      </c>
      <c r="B78" s="1" t="s">
        <v>994</v>
      </c>
      <c r="C78" s="2" t="s">
        <v>991</v>
      </c>
    </row>
    <row r="79" spans="1:3" x14ac:dyDescent="0.3">
      <c r="A79" s="1">
        <v>20876</v>
      </c>
      <c r="B79" s="3" t="s">
        <v>1000</v>
      </c>
      <c r="C79" s="4" t="s">
        <v>991</v>
      </c>
    </row>
    <row r="80" spans="1:3" x14ac:dyDescent="0.3">
      <c r="A80" s="1">
        <v>21044</v>
      </c>
      <c r="B80" s="1" t="s">
        <v>1043</v>
      </c>
      <c r="C80" s="2" t="s">
        <v>1038</v>
      </c>
    </row>
    <row r="81" spans="1:3" x14ac:dyDescent="0.3">
      <c r="A81" s="1">
        <v>21001</v>
      </c>
      <c r="B81" s="3" t="s">
        <v>1044</v>
      </c>
      <c r="C81" s="4" t="s">
        <v>1045</v>
      </c>
    </row>
    <row r="82" spans="1:3" x14ac:dyDescent="0.3">
      <c r="A82" s="1">
        <v>21133</v>
      </c>
      <c r="B82" s="1" t="s">
        <v>1046</v>
      </c>
      <c r="C82" s="2" t="s">
        <v>992</v>
      </c>
    </row>
    <row r="83" spans="1:3" x14ac:dyDescent="0.3">
      <c r="A83" s="1">
        <v>21040</v>
      </c>
      <c r="B83" s="3" t="s">
        <v>1047</v>
      </c>
      <c r="C83" s="4" t="s">
        <v>1045</v>
      </c>
    </row>
    <row r="84" spans="1:3" x14ac:dyDescent="0.3">
      <c r="A84" s="1">
        <v>21205</v>
      </c>
      <c r="B84" s="1" t="s">
        <v>992</v>
      </c>
      <c r="C84" s="2" t="s">
        <v>993</v>
      </c>
    </row>
    <row r="85" spans="1:3" x14ac:dyDescent="0.3">
      <c r="A85" s="1">
        <v>21045</v>
      </c>
      <c r="B85" s="3" t="s">
        <v>1043</v>
      </c>
      <c r="C85" s="4" t="s">
        <v>1038</v>
      </c>
    </row>
    <row r="86" spans="1:3" x14ac:dyDescent="0.3">
      <c r="A86" s="1">
        <v>20781</v>
      </c>
      <c r="B86" s="1" t="s">
        <v>988</v>
      </c>
      <c r="C86" s="2" t="s">
        <v>989</v>
      </c>
    </row>
    <row r="87" spans="1:3" x14ac:dyDescent="0.3">
      <c r="A87" s="1">
        <v>21030</v>
      </c>
      <c r="B87" s="3" t="s">
        <v>1048</v>
      </c>
      <c r="C87" s="4" t="s">
        <v>992</v>
      </c>
    </row>
    <row r="88" spans="1:3" x14ac:dyDescent="0.3">
      <c r="A88" s="1">
        <v>21208</v>
      </c>
      <c r="B88" s="1" t="s">
        <v>1049</v>
      </c>
      <c r="C88" s="2" t="s">
        <v>992</v>
      </c>
    </row>
    <row r="89" spans="1:3" x14ac:dyDescent="0.3">
      <c r="A89" s="1">
        <v>21239</v>
      </c>
      <c r="B89" s="3" t="s">
        <v>992</v>
      </c>
      <c r="C89" s="4" t="s">
        <v>993</v>
      </c>
    </row>
    <row r="90" spans="1:3" x14ac:dyDescent="0.3">
      <c r="A90" s="1">
        <v>21236</v>
      </c>
      <c r="B90" s="1" t="s">
        <v>1050</v>
      </c>
      <c r="C90" s="2" t="s">
        <v>992</v>
      </c>
    </row>
    <row r="91" spans="1:3" x14ac:dyDescent="0.3">
      <c r="A91" s="1">
        <v>21043</v>
      </c>
      <c r="B91" s="3" t="s">
        <v>1051</v>
      </c>
      <c r="C91" s="4" t="s">
        <v>1038</v>
      </c>
    </row>
    <row r="92" spans="1:3" x14ac:dyDescent="0.3">
      <c r="A92" s="1">
        <v>20653</v>
      </c>
      <c r="B92" s="1" t="s">
        <v>1052</v>
      </c>
      <c r="C92" s="2" t="s">
        <v>1053</v>
      </c>
    </row>
    <row r="93" spans="1:3" x14ac:dyDescent="0.3">
      <c r="A93" s="1">
        <v>20657</v>
      </c>
      <c r="B93" s="3" t="s">
        <v>1054</v>
      </c>
      <c r="C93" s="4" t="s">
        <v>1055</v>
      </c>
    </row>
    <row r="94" spans="1:3" x14ac:dyDescent="0.3">
      <c r="A94" s="1">
        <v>21601</v>
      </c>
      <c r="B94" s="1" t="s">
        <v>1056</v>
      </c>
      <c r="C94" s="2" t="s">
        <v>1057</v>
      </c>
    </row>
    <row r="95" spans="1:3" x14ac:dyDescent="0.3">
      <c r="A95" s="1">
        <v>20712</v>
      </c>
      <c r="B95" s="3" t="s">
        <v>1058</v>
      </c>
      <c r="C95" s="4" t="s">
        <v>989</v>
      </c>
    </row>
    <row r="96" spans="1:3" x14ac:dyDescent="0.3">
      <c r="A96" s="1">
        <v>20710</v>
      </c>
      <c r="B96" s="1" t="s">
        <v>1059</v>
      </c>
      <c r="C96" s="2" t="s">
        <v>989</v>
      </c>
    </row>
    <row r="97" spans="1:3" x14ac:dyDescent="0.3">
      <c r="A97" s="1">
        <v>20659</v>
      </c>
      <c r="B97" s="3" t="s">
        <v>1060</v>
      </c>
      <c r="C97" s="4" t="s">
        <v>1053</v>
      </c>
    </row>
    <row r="98" spans="1:3" x14ac:dyDescent="0.3">
      <c r="A98" s="1">
        <v>21811</v>
      </c>
      <c r="B98" s="1" t="s">
        <v>1061</v>
      </c>
      <c r="C98" s="2" t="s">
        <v>1062</v>
      </c>
    </row>
    <row r="99" spans="1:3" x14ac:dyDescent="0.3">
      <c r="A99" s="1">
        <v>21550</v>
      </c>
      <c r="B99" s="3" t="s">
        <v>1063</v>
      </c>
      <c r="C99" s="4" t="s">
        <v>1064</v>
      </c>
    </row>
    <row r="100" spans="1:3" x14ac:dyDescent="0.3">
      <c r="A100" s="1">
        <v>21202</v>
      </c>
      <c r="B100" s="1" t="s">
        <v>992</v>
      </c>
      <c r="C100" s="2" t="s">
        <v>993</v>
      </c>
    </row>
    <row r="101" spans="1:3" x14ac:dyDescent="0.3">
      <c r="A101" s="1">
        <v>21901</v>
      </c>
      <c r="B101" s="3" t="s">
        <v>1065</v>
      </c>
      <c r="C101" s="4" t="s">
        <v>1017</v>
      </c>
    </row>
    <row r="102" spans="1:3" x14ac:dyDescent="0.3">
      <c r="A102" s="1">
        <v>21093</v>
      </c>
      <c r="B102" s="1" t="s">
        <v>1066</v>
      </c>
      <c r="C102" s="2" t="s">
        <v>992</v>
      </c>
    </row>
    <row r="103" spans="1:3" x14ac:dyDescent="0.3">
      <c r="A103" s="1">
        <v>20715</v>
      </c>
      <c r="B103" s="3" t="s">
        <v>1067</v>
      </c>
      <c r="C103" s="4" t="s">
        <v>989</v>
      </c>
    </row>
    <row r="104" spans="1:3" x14ac:dyDescent="0.3">
      <c r="A104" s="1">
        <v>21214</v>
      </c>
      <c r="B104" s="1" t="s">
        <v>992</v>
      </c>
      <c r="C104" s="2" t="s">
        <v>993</v>
      </c>
    </row>
    <row r="105" spans="1:3" x14ac:dyDescent="0.3">
      <c r="A105" s="1">
        <v>20721</v>
      </c>
      <c r="B105" s="3" t="s">
        <v>1067</v>
      </c>
      <c r="C105" s="4" t="s">
        <v>989</v>
      </c>
    </row>
    <row r="106" spans="1:3" x14ac:dyDescent="0.3">
      <c r="A106" s="1">
        <v>21113</v>
      </c>
      <c r="B106" s="1" t="s">
        <v>1068</v>
      </c>
      <c r="C106" s="2" t="s">
        <v>996</v>
      </c>
    </row>
    <row r="107" spans="1:3" x14ac:dyDescent="0.3">
      <c r="A107" s="1">
        <v>21158</v>
      </c>
      <c r="B107" s="3" t="s">
        <v>1040</v>
      </c>
      <c r="C107" s="4" t="s">
        <v>1041</v>
      </c>
    </row>
    <row r="108" spans="1:3" x14ac:dyDescent="0.3">
      <c r="A108" s="1">
        <v>20601</v>
      </c>
      <c r="B108" s="1" t="s">
        <v>1069</v>
      </c>
      <c r="C108" s="2" t="s">
        <v>1070</v>
      </c>
    </row>
    <row r="109" spans="1:3" x14ac:dyDescent="0.3">
      <c r="A109" s="1">
        <v>20866</v>
      </c>
      <c r="B109" s="3" t="s">
        <v>1071</v>
      </c>
      <c r="C109" s="4" t="s">
        <v>991</v>
      </c>
    </row>
    <row r="110" spans="1:3" x14ac:dyDescent="0.3">
      <c r="A110" s="1">
        <v>21209</v>
      </c>
      <c r="B110" s="1" t="s">
        <v>992</v>
      </c>
      <c r="C110" s="2" t="s">
        <v>993</v>
      </c>
    </row>
    <row r="111" spans="1:3" x14ac:dyDescent="0.3">
      <c r="A111" s="1">
        <v>20895</v>
      </c>
      <c r="B111" s="3" t="s">
        <v>1072</v>
      </c>
      <c r="C111" s="4" t="s">
        <v>991</v>
      </c>
    </row>
    <row r="112" spans="1:3" x14ac:dyDescent="0.3">
      <c r="A112" s="1">
        <v>21015</v>
      </c>
      <c r="B112" s="1" t="s">
        <v>1073</v>
      </c>
      <c r="C112" s="2" t="s">
        <v>1045</v>
      </c>
    </row>
    <row r="113" spans="1:3" x14ac:dyDescent="0.3">
      <c r="A113" s="1">
        <v>21771</v>
      </c>
      <c r="B113" s="3" t="s">
        <v>1074</v>
      </c>
      <c r="C113" s="4" t="s">
        <v>1027</v>
      </c>
    </row>
    <row r="114" spans="1:3" x14ac:dyDescent="0.3">
      <c r="A114" s="1">
        <v>20905</v>
      </c>
      <c r="B114" s="1" t="s">
        <v>990</v>
      </c>
      <c r="C114" s="2" t="s">
        <v>991</v>
      </c>
    </row>
    <row r="115" spans="1:3" x14ac:dyDescent="0.3">
      <c r="A115" s="1">
        <v>20716</v>
      </c>
      <c r="B115" s="3" t="s">
        <v>1067</v>
      </c>
      <c r="C115" s="4" t="s">
        <v>989</v>
      </c>
    </row>
    <row r="116" spans="1:3" x14ac:dyDescent="0.3">
      <c r="A116" s="1">
        <v>21012</v>
      </c>
      <c r="B116" s="1" t="s">
        <v>1075</v>
      </c>
      <c r="C116" s="2" t="s">
        <v>996</v>
      </c>
    </row>
    <row r="117" spans="1:3" x14ac:dyDescent="0.3">
      <c r="A117" s="1">
        <v>20613</v>
      </c>
      <c r="B117" s="3" t="s">
        <v>1076</v>
      </c>
      <c r="C117" s="4" t="s">
        <v>989</v>
      </c>
    </row>
    <row r="118" spans="1:3" x14ac:dyDescent="0.3">
      <c r="A118" s="1">
        <v>20724</v>
      </c>
      <c r="B118" s="1" t="s">
        <v>1023</v>
      </c>
      <c r="C118" s="2" t="s">
        <v>996</v>
      </c>
    </row>
    <row r="119" spans="1:3" x14ac:dyDescent="0.3">
      <c r="A119" s="1">
        <v>21231</v>
      </c>
      <c r="B119" s="3" t="s">
        <v>992</v>
      </c>
      <c r="C119" s="4" t="s">
        <v>993</v>
      </c>
    </row>
    <row r="120" spans="1:3" x14ac:dyDescent="0.3">
      <c r="A120" s="1">
        <v>21211</v>
      </c>
      <c r="B120" s="1" t="s">
        <v>992</v>
      </c>
      <c r="C120" s="2" t="s">
        <v>993</v>
      </c>
    </row>
    <row r="121" spans="1:3" x14ac:dyDescent="0.3">
      <c r="A121" s="1">
        <v>20650</v>
      </c>
      <c r="B121" s="3" t="s">
        <v>1077</v>
      </c>
      <c r="C121" s="4" t="s">
        <v>1053</v>
      </c>
    </row>
    <row r="122" spans="1:3" x14ac:dyDescent="0.3">
      <c r="A122" s="1">
        <v>21784</v>
      </c>
      <c r="B122" s="1" t="s">
        <v>1078</v>
      </c>
      <c r="C122" s="2" t="s">
        <v>1041</v>
      </c>
    </row>
    <row r="123" spans="1:3" x14ac:dyDescent="0.3">
      <c r="A123" s="1">
        <v>21788</v>
      </c>
      <c r="B123" s="3" t="s">
        <v>1079</v>
      </c>
      <c r="C123" s="4" t="s">
        <v>1027</v>
      </c>
    </row>
    <row r="124" spans="1:3" x14ac:dyDescent="0.3">
      <c r="A124" s="1">
        <v>20855</v>
      </c>
      <c r="B124" s="1" t="s">
        <v>1080</v>
      </c>
      <c r="C124" s="2" t="s">
        <v>991</v>
      </c>
    </row>
    <row r="125" spans="1:3" x14ac:dyDescent="0.3">
      <c r="A125" s="1">
        <v>20871</v>
      </c>
      <c r="B125" s="3" t="s">
        <v>1081</v>
      </c>
      <c r="C125" s="4" t="s">
        <v>991</v>
      </c>
    </row>
    <row r="126" spans="1:3" x14ac:dyDescent="0.3">
      <c r="A126" s="1">
        <v>21409</v>
      </c>
      <c r="B126" s="1" t="s">
        <v>1042</v>
      </c>
      <c r="C126" s="2" t="s">
        <v>996</v>
      </c>
    </row>
    <row r="127" spans="1:3" x14ac:dyDescent="0.3">
      <c r="A127" s="1">
        <v>21842</v>
      </c>
      <c r="B127" s="3" t="s">
        <v>1082</v>
      </c>
      <c r="C127" s="4" t="s">
        <v>1062</v>
      </c>
    </row>
    <row r="128" spans="1:3" x14ac:dyDescent="0.3">
      <c r="A128" s="1">
        <v>21037</v>
      </c>
      <c r="B128" s="1" t="s">
        <v>1083</v>
      </c>
      <c r="C128" s="2" t="s">
        <v>996</v>
      </c>
    </row>
    <row r="129" spans="1:3" x14ac:dyDescent="0.3">
      <c r="A129" s="1">
        <v>21108</v>
      </c>
      <c r="B129" s="3" t="s">
        <v>1084</v>
      </c>
      <c r="C129" s="4" t="s">
        <v>996</v>
      </c>
    </row>
    <row r="130" spans="1:3" x14ac:dyDescent="0.3">
      <c r="A130" s="1">
        <v>21014</v>
      </c>
      <c r="B130" s="1" t="s">
        <v>1073</v>
      </c>
      <c r="C130" s="2" t="s">
        <v>1045</v>
      </c>
    </row>
    <row r="131" spans="1:3" x14ac:dyDescent="0.3">
      <c r="A131" s="1">
        <v>21009</v>
      </c>
      <c r="B131" s="3" t="s">
        <v>1085</v>
      </c>
      <c r="C131" s="4" t="s">
        <v>1045</v>
      </c>
    </row>
    <row r="132" spans="1:3" x14ac:dyDescent="0.3">
      <c r="A132" s="1">
        <v>21787</v>
      </c>
      <c r="B132" s="1" t="s">
        <v>1086</v>
      </c>
      <c r="C132" s="2" t="s">
        <v>1041</v>
      </c>
    </row>
    <row r="133" spans="1:3" x14ac:dyDescent="0.3">
      <c r="A133" s="1">
        <v>20817</v>
      </c>
      <c r="B133" s="3" t="s">
        <v>1087</v>
      </c>
      <c r="C133" s="4" t="s">
        <v>991</v>
      </c>
    </row>
    <row r="134" spans="1:3" x14ac:dyDescent="0.3">
      <c r="A134" s="1">
        <v>21078</v>
      </c>
      <c r="B134" s="1" t="s">
        <v>1088</v>
      </c>
      <c r="C134" s="2" t="s">
        <v>1045</v>
      </c>
    </row>
    <row r="135" spans="1:3" x14ac:dyDescent="0.3">
      <c r="A135" s="1">
        <v>21201</v>
      </c>
      <c r="B135" s="3" t="s">
        <v>992</v>
      </c>
      <c r="C135" s="4" t="s">
        <v>993</v>
      </c>
    </row>
    <row r="136" spans="1:3" x14ac:dyDescent="0.3">
      <c r="A136" s="1">
        <v>20639</v>
      </c>
      <c r="B136" s="1" t="s">
        <v>1089</v>
      </c>
      <c r="C136" s="2" t="s">
        <v>1055</v>
      </c>
    </row>
    <row r="137" spans="1:3" x14ac:dyDescent="0.3">
      <c r="A137" s="1">
        <v>20720</v>
      </c>
      <c r="B137" s="3" t="s">
        <v>1067</v>
      </c>
      <c r="C137" s="4" t="s">
        <v>989</v>
      </c>
    </row>
    <row r="138" spans="1:3" x14ac:dyDescent="0.3">
      <c r="A138" s="1">
        <v>21204</v>
      </c>
      <c r="B138" s="1" t="s">
        <v>1090</v>
      </c>
      <c r="C138" s="2" t="s">
        <v>992</v>
      </c>
    </row>
    <row r="139" spans="1:3" x14ac:dyDescent="0.3">
      <c r="A139" s="1">
        <v>20603</v>
      </c>
      <c r="B139" s="3" t="s">
        <v>1069</v>
      </c>
      <c r="C139" s="4" t="s">
        <v>1070</v>
      </c>
    </row>
    <row r="140" spans="1:3" x14ac:dyDescent="0.3">
      <c r="A140" s="1">
        <v>20794</v>
      </c>
      <c r="B140" s="1" t="s">
        <v>1091</v>
      </c>
      <c r="C140" s="2" t="s">
        <v>1038</v>
      </c>
    </row>
    <row r="141" spans="1:3" x14ac:dyDescent="0.3">
      <c r="A141" s="1">
        <v>20602</v>
      </c>
      <c r="B141" s="3" t="s">
        <v>1069</v>
      </c>
      <c r="C141" s="4" t="s">
        <v>1070</v>
      </c>
    </row>
    <row r="142" spans="1:3" x14ac:dyDescent="0.3">
      <c r="A142" s="1">
        <v>21722</v>
      </c>
      <c r="B142" s="1" t="s">
        <v>1092</v>
      </c>
      <c r="C142" s="2" t="s">
        <v>999</v>
      </c>
    </row>
    <row r="143" spans="1:3" x14ac:dyDescent="0.3">
      <c r="A143" s="1">
        <v>20722</v>
      </c>
      <c r="B143" s="3" t="s">
        <v>1093</v>
      </c>
      <c r="C143" s="4" t="s">
        <v>989</v>
      </c>
    </row>
    <row r="144" spans="1:3" x14ac:dyDescent="0.3">
      <c r="A144" s="1">
        <v>21042</v>
      </c>
      <c r="B144" s="1" t="s">
        <v>1051</v>
      </c>
      <c r="C144" s="2" t="s">
        <v>1038</v>
      </c>
    </row>
    <row r="145" spans="1:3" x14ac:dyDescent="0.3">
      <c r="A145" s="1">
        <v>21629</v>
      </c>
      <c r="B145" s="3" t="s">
        <v>1094</v>
      </c>
      <c r="C145" s="4" t="s">
        <v>1095</v>
      </c>
    </row>
    <row r="146" spans="1:3" x14ac:dyDescent="0.3">
      <c r="A146" s="1">
        <v>21613</v>
      </c>
      <c r="B146" s="1" t="s">
        <v>1096</v>
      </c>
      <c r="C146" s="2" t="s">
        <v>1097</v>
      </c>
    </row>
    <row r="147" spans="1:3" x14ac:dyDescent="0.3">
      <c r="A147" s="1">
        <v>20854</v>
      </c>
      <c r="B147" s="3" t="s">
        <v>1098</v>
      </c>
      <c r="C147" s="4" t="s">
        <v>991</v>
      </c>
    </row>
    <row r="148" spans="1:3" x14ac:dyDescent="0.3">
      <c r="A148" s="1">
        <v>21532</v>
      </c>
      <c r="B148" s="1" t="s">
        <v>1099</v>
      </c>
      <c r="C148" s="2" t="s">
        <v>1032</v>
      </c>
    </row>
    <row r="149" spans="1:3" x14ac:dyDescent="0.3">
      <c r="A149" s="1">
        <v>21114</v>
      </c>
      <c r="B149" s="3" t="s">
        <v>1100</v>
      </c>
      <c r="C149" s="4" t="s">
        <v>996</v>
      </c>
    </row>
    <row r="150" spans="1:3" x14ac:dyDescent="0.3">
      <c r="A150" s="1">
        <v>20832</v>
      </c>
      <c r="B150" s="1" t="s">
        <v>1101</v>
      </c>
      <c r="C150" s="2" t="s">
        <v>991</v>
      </c>
    </row>
    <row r="151" spans="1:3" x14ac:dyDescent="0.3">
      <c r="A151" s="1">
        <v>21851</v>
      </c>
      <c r="B151" s="3" t="s">
        <v>1102</v>
      </c>
      <c r="C151" s="4" t="s">
        <v>1062</v>
      </c>
    </row>
    <row r="152" spans="1:3" x14ac:dyDescent="0.3">
      <c r="A152" s="1">
        <v>20678</v>
      </c>
      <c r="B152" s="1" t="s">
        <v>1103</v>
      </c>
      <c r="C152" s="2" t="s">
        <v>1055</v>
      </c>
    </row>
    <row r="153" spans="1:3" x14ac:dyDescent="0.3">
      <c r="A153" s="1">
        <v>20815</v>
      </c>
      <c r="B153" s="3" t="s">
        <v>1104</v>
      </c>
      <c r="C153" s="4" t="s">
        <v>991</v>
      </c>
    </row>
    <row r="154" spans="1:3" x14ac:dyDescent="0.3">
      <c r="A154" s="1">
        <v>20622</v>
      </c>
      <c r="B154" s="1" t="s">
        <v>1105</v>
      </c>
      <c r="C154" s="2" t="s">
        <v>1053</v>
      </c>
    </row>
    <row r="155" spans="1:3" x14ac:dyDescent="0.3">
      <c r="A155" s="1">
        <v>20814</v>
      </c>
      <c r="B155" s="3" t="s">
        <v>1087</v>
      </c>
      <c r="C155" s="4" t="s">
        <v>991</v>
      </c>
    </row>
    <row r="156" spans="1:3" x14ac:dyDescent="0.3">
      <c r="A156" s="1">
        <v>20646</v>
      </c>
      <c r="B156" s="1" t="s">
        <v>1106</v>
      </c>
      <c r="C156" s="2" t="s">
        <v>1070</v>
      </c>
    </row>
    <row r="157" spans="1:3" x14ac:dyDescent="0.3">
      <c r="A157" s="1">
        <v>21853</v>
      </c>
      <c r="B157" s="3" t="s">
        <v>1107</v>
      </c>
      <c r="C157" s="4" t="s">
        <v>1108</v>
      </c>
    </row>
    <row r="158" spans="1:3" x14ac:dyDescent="0.3">
      <c r="A158" s="1">
        <v>21085</v>
      </c>
      <c r="B158" s="1" t="s">
        <v>1109</v>
      </c>
      <c r="C158" s="2" t="s">
        <v>1045</v>
      </c>
    </row>
    <row r="159" spans="1:3" x14ac:dyDescent="0.3">
      <c r="A159" s="1">
        <v>21046</v>
      </c>
      <c r="B159" s="3" t="s">
        <v>1043</v>
      </c>
      <c r="C159" s="4" t="s">
        <v>1038</v>
      </c>
    </row>
    <row r="160" spans="1:3" x14ac:dyDescent="0.3">
      <c r="A160" s="1">
        <v>21286</v>
      </c>
      <c r="B160" s="1" t="s">
        <v>1090</v>
      </c>
      <c r="C160" s="2" t="s">
        <v>992</v>
      </c>
    </row>
    <row r="161" spans="1:3" x14ac:dyDescent="0.3">
      <c r="A161" s="1">
        <v>21875</v>
      </c>
      <c r="B161" s="3" t="s">
        <v>1110</v>
      </c>
      <c r="C161" s="4" t="s">
        <v>1021</v>
      </c>
    </row>
    <row r="162" spans="1:3" x14ac:dyDescent="0.3">
      <c r="A162" s="1">
        <v>21632</v>
      </c>
      <c r="B162" s="1" t="s">
        <v>1111</v>
      </c>
      <c r="C162" s="2" t="s">
        <v>1095</v>
      </c>
    </row>
    <row r="163" spans="1:3" x14ac:dyDescent="0.3">
      <c r="A163" s="1">
        <v>20619</v>
      </c>
      <c r="B163" s="3" t="s">
        <v>1112</v>
      </c>
      <c r="C163" s="4" t="s">
        <v>1053</v>
      </c>
    </row>
    <row r="164" spans="1:3" x14ac:dyDescent="0.3">
      <c r="A164" s="1">
        <v>20841</v>
      </c>
      <c r="B164" s="1" t="s">
        <v>1113</v>
      </c>
      <c r="C164" s="2" t="s">
        <v>991</v>
      </c>
    </row>
    <row r="165" spans="1:3" x14ac:dyDescent="0.3">
      <c r="A165" s="1">
        <v>21076</v>
      </c>
      <c r="B165" s="3" t="s">
        <v>1114</v>
      </c>
      <c r="C165" s="4" t="s">
        <v>996</v>
      </c>
    </row>
    <row r="166" spans="1:3" x14ac:dyDescent="0.3">
      <c r="A166" s="1">
        <v>21911</v>
      </c>
      <c r="B166" s="1" t="s">
        <v>1115</v>
      </c>
      <c r="C166" s="2" t="s">
        <v>1017</v>
      </c>
    </row>
    <row r="167" spans="1:3" x14ac:dyDescent="0.3">
      <c r="A167" s="1">
        <v>21090</v>
      </c>
      <c r="B167" s="3" t="s">
        <v>1116</v>
      </c>
      <c r="C167" s="4" t="s">
        <v>996</v>
      </c>
    </row>
    <row r="168" spans="1:3" x14ac:dyDescent="0.3">
      <c r="A168" s="1">
        <v>21074</v>
      </c>
      <c r="B168" s="1" t="s">
        <v>1117</v>
      </c>
      <c r="C168" s="2" t="s">
        <v>1041</v>
      </c>
    </row>
    <row r="169" spans="1:3" x14ac:dyDescent="0.3">
      <c r="A169" s="1">
        <v>21649</v>
      </c>
      <c r="B169" s="3" t="s">
        <v>1118</v>
      </c>
      <c r="C169" s="4" t="s">
        <v>1095</v>
      </c>
    </row>
    <row r="170" spans="1:3" x14ac:dyDescent="0.3">
      <c r="A170" s="1">
        <v>20769</v>
      </c>
      <c r="B170" s="1" t="s">
        <v>1119</v>
      </c>
      <c r="C170" s="2" t="s">
        <v>989</v>
      </c>
    </row>
    <row r="171" spans="1:3" x14ac:dyDescent="0.3">
      <c r="A171" s="1">
        <v>20634</v>
      </c>
      <c r="B171" s="3" t="s">
        <v>1120</v>
      </c>
      <c r="C171" s="4" t="s">
        <v>1053</v>
      </c>
    </row>
    <row r="172" spans="1:3" x14ac:dyDescent="0.3">
      <c r="A172" s="1">
        <v>20607</v>
      </c>
      <c r="B172" s="1" t="s">
        <v>1121</v>
      </c>
      <c r="C172" s="2" t="s">
        <v>989</v>
      </c>
    </row>
    <row r="173" spans="1:3" x14ac:dyDescent="0.3">
      <c r="A173" s="1">
        <v>21704</v>
      </c>
      <c r="B173" s="3" t="s">
        <v>1027</v>
      </c>
      <c r="C173" s="4" t="s">
        <v>1027</v>
      </c>
    </row>
    <row r="174" spans="1:3" x14ac:dyDescent="0.3">
      <c r="A174" s="1">
        <v>21163</v>
      </c>
      <c r="B174" s="1" t="s">
        <v>1122</v>
      </c>
      <c r="C174" s="2" t="s">
        <v>1038</v>
      </c>
    </row>
    <row r="175" spans="1:3" x14ac:dyDescent="0.3">
      <c r="A175" s="1">
        <v>21817</v>
      </c>
      <c r="B175" s="3" t="s">
        <v>1123</v>
      </c>
      <c r="C175" s="4" t="s">
        <v>1108</v>
      </c>
    </row>
    <row r="176" spans="1:3" x14ac:dyDescent="0.3">
      <c r="A176" s="1">
        <v>21713</v>
      </c>
      <c r="B176" s="1" t="s">
        <v>1124</v>
      </c>
      <c r="C176" s="2" t="s">
        <v>999</v>
      </c>
    </row>
    <row r="177" spans="1:3" x14ac:dyDescent="0.3">
      <c r="A177" s="1">
        <v>21783</v>
      </c>
      <c r="B177" s="3" t="s">
        <v>1125</v>
      </c>
      <c r="C177" s="4" t="s">
        <v>999</v>
      </c>
    </row>
    <row r="178" spans="1:3" x14ac:dyDescent="0.3">
      <c r="A178" s="1">
        <v>21826</v>
      </c>
      <c r="B178" s="1" t="s">
        <v>1126</v>
      </c>
      <c r="C178" s="2" t="s">
        <v>1021</v>
      </c>
    </row>
    <row r="179" spans="1:3" x14ac:dyDescent="0.3">
      <c r="A179" s="1">
        <v>21655</v>
      </c>
      <c r="B179" s="3" t="s">
        <v>1127</v>
      </c>
      <c r="C179" s="4" t="s">
        <v>1095</v>
      </c>
    </row>
    <row r="180" spans="1:3" x14ac:dyDescent="0.3">
      <c r="A180" s="1">
        <v>20640</v>
      </c>
      <c r="B180" s="1" t="s">
        <v>1128</v>
      </c>
      <c r="C180" s="2" t="s">
        <v>1070</v>
      </c>
    </row>
    <row r="181" spans="1:3" x14ac:dyDescent="0.3">
      <c r="A181" s="1">
        <v>21050</v>
      </c>
      <c r="B181" s="3" t="s">
        <v>1129</v>
      </c>
      <c r="C181" s="4" t="s">
        <v>1045</v>
      </c>
    </row>
    <row r="182" spans="1:3" x14ac:dyDescent="0.3">
      <c r="A182" s="1">
        <v>21620</v>
      </c>
      <c r="B182" s="1" t="s">
        <v>1130</v>
      </c>
      <c r="C182" s="2" t="s">
        <v>1131</v>
      </c>
    </row>
    <row r="183" spans="1:3" x14ac:dyDescent="0.3">
      <c r="A183" s="1">
        <v>20732</v>
      </c>
      <c r="B183" s="3" t="s">
        <v>1132</v>
      </c>
      <c r="C183" s="4" t="s">
        <v>1055</v>
      </c>
    </row>
    <row r="184" spans="1:3" x14ac:dyDescent="0.3">
      <c r="A184" s="1">
        <v>21793</v>
      </c>
      <c r="B184" s="1" t="s">
        <v>1133</v>
      </c>
      <c r="C184" s="2" t="s">
        <v>1027</v>
      </c>
    </row>
    <row r="185" spans="1:3" x14ac:dyDescent="0.3">
      <c r="A185" s="1">
        <v>21795</v>
      </c>
      <c r="B185" s="3" t="s">
        <v>1134</v>
      </c>
      <c r="C185" s="4" t="s">
        <v>999</v>
      </c>
    </row>
    <row r="186" spans="1:3" x14ac:dyDescent="0.3">
      <c r="A186" s="1">
        <v>20754</v>
      </c>
      <c r="B186" s="1" t="s">
        <v>1135</v>
      </c>
      <c r="C186" s="2" t="s">
        <v>1055</v>
      </c>
    </row>
    <row r="187" spans="1:3" x14ac:dyDescent="0.3">
      <c r="A187" s="1">
        <v>21146</v>
      </c>
      <c r="B187" s="3" t="s">
        <v>1136</v>
      </c>
      <c r="C187" s="4" t="s">
        <v>996</v>
      </c>
    </row>
    <row r="188" spans="1:3" x14ac:dyDescent="0.3">
      <c r="A188" s="1">
        <v>20882</v>
      </c>
      <c r="B188" s="1" t="s">
        <v>994</v>
      </c>
      <c r="C188" s="2" t="s">
        <v>991</v>
      </c>
    </row>
    <row r="189" spans="1:3" x14ac:dyDescent="0.3">
      <c r="A189" s="1">
        <v>21047</v>
      </c>
      <c r="B189" s="3" t="s">
        <v>1137</v>
      </c>
      <c r="C189" s="4" t="s">
        <v>1045</v>
      </c>
    </row>
    <row r="190" spans="1:3" x14ac:dyDescent="0.3">
      <c r="A190" s="1">
        <v>21536</v>
      </c>
      <c r="B190" s="1" t="s">
        <v>1138</v>
      </c>
      <c r="C190" s="2" t="s">
        <v>1064</v>
      </c>
    </row>
    <row r="191" spans="1:3" x14ac:dyDescent="0.3">
      <c r="A191" s="1">
        <v>20872</v>
      </c>
      <c r="B191" s="3" t="s">
        <v>1139</v>
      </c>
      <c r="C191" s="4" t="s">
        <v>991</v>
      </c>
    </row>
    <row r="192" spans="1:3" x14ac:dyDescent="0.3">
      <c r="A192" s="1">
        <v>21619</v>
      </c>
      <c r="B192" s="1" t="s">
        <v>1140</v>
      </c>
      <c r="C192" s="2" t="s">
        <v>1141</v>
      </c>
    </row>
    <row r="193" spans="1:3" x14ac:dyDescent="0.3">
      <c r="A193" s="1">
        <v>21774</v>
      </c>
      <c r="B193" s="3" t="s">
        <v>1142</v>
      </c>
      <c r="C193" s="4" t="s">
        <v>1027</v>
      </c>
    </row>
    <row r="194" spans="1:3" x14ac:dyDescent="0.3">
      <c r="A194" s="1">
        <v>21903</v>
      </c>
      <c r="B194" s="1" t="s">
        <v>1143</v>
      </c>
      <c r="C194" s="2" t="s">
        <v>1017</v>
      </c>
    </row>
    <row r="195" spans="1:3" x14ac:dyDescent="0.3">
      <c r="A195" s="1">
        <v>21053</v>
      </c>
      <c r="B195" s="3" t="s">
        <v>1144</v>
      </c>
      <c r="C195" s="4" t="s">
        <v>992</v>
      </c>
    </row>
    <row r="196" spans="1:3" x14ac:dyDescent="0.3">
      <c r="A196" s="1">
        <v>21617</v>
      </c>
      <c r="B196" s="1" t="s">
        <v>1145</v>
      </c>
      <c r="C196" s="2" t="s">
        <v>1141</v>
      </c>
    </row>
    <row r="197" spans="1:3" x14ac:dyDescent="0.3">
      <c r="A197" s="1">
        <v>21769</v>
      </c>
      <c r="B197" s="3" t="s">
        <v>1146</v>
      </c>
      <c r="C197" s="4" t="s">
        <v>1027</v>
      </c>
    </row>
    <row r="198" spans="1:3" x14ac:dyDescent="0.3">
      <c r="A198" s="1">
        <v>20616</v>
      </c>
      <c r="B198" s="1" t="s">
        <v>1147</v>
      </c>
      <c r="C198" s="2" t="s">
        <v>1070</v>
      </c>
    </row>
    <row r="199" spans="1:3" x14ac:dyDescent="0.3">
      <c r="A199" s="1">
        <v>20685</v>
      </c>
      <c r="B199" s="3" t="s">
        <v>1148</v>
      </c>
      <c r="C199" s="4" t="s">
        <v>1055</v>
      </c>
    </row>
    <row r="200" spans="1:3" x14ac:dyDescent="0.3">
      <c r="A200" s="1">
        <v>21863</v>
      </c>
      <c r="B200" s="1" t="s">
        <v>1149</v>
      </c>
      <c r="C200" s="2" t="s">
        <v>1062</v>
      </c>
    </row>
    <row r="201" spans="1:3" x14ac:dyDescent="0.3">
      <c r="A201" s="1">
        <v>20711</v>
      </c>
      <c r="B201" s="3" t="s">
        <v>1150</v>
      </c>
      <c r="C201" s="4" t="s">
        <v>996</v>
      </c>
    </row>
    <row r="202" spans="1:3" x14ac:dyDescent="0.3">
      <c r="A202" s="1">
        <v>21797</v>
      </c>
      <c r="B202" s="1" t="s">
        <v>1151</v>
      </c>
      <c r="C202" s="2" t="s">
        <v>1038</v>
      </c>
    </row>
    <row r="203" spans="1:3" x14ac:dyDescent="0.3">
      <c r="A203" s="1">
        <v>20636</v>
      </c>
      <c r="B203" s="3" t="s">
        <v>1152</v>
      </c>
      <c r="C203" s="4" t="s">
        <v>1053</v>
      </c>
    </row>
    <row r="204" spans="1:3" x14ac:dyDescent="0.3">
      <c r="A204" s="1">
        <v>21757</v>
      </c>
      <c r="B204" s="1" t="s">
        <v>1153</v>
      </c>
      <c r="C204" s="2" t="s">
        <v>1041</v>
      </c>
    </row>
    <row r="205" spans="1:3" x14ac:dyDescent="0.3">
      <c r="A205" s="1">
        <v>21084</v>
      </c>
      <c r="B205" s="3" t="s">
        <v>1154</v>
      </c>
      <c r="C205" s="4" t="s">
        <v>1045</v>
      </c>
    </row>
    <row r="206" spans="1:3" x14ac:dyDescent="0.3">
      <c r="A206" s="1">
        <v>21666</v>
      </c>
      <c r="B206" s="1" t="s">
        <v>1155</v>
      </c>
      <c r="C206" s="2" t="s">
        <v>1141</v>
      </c>
    </row>
    <row r="207" spans="1:3" x14ac:dyDescent="0.3">
      <c r="A207" s="1">
        <v>21219</v>
      </c>
      <c r="B207" s="3" t="s">
        <v>1156</v>
      </c>
      <c r="C207" s="4" t="s">
        <v>992</v>
      </c>
    </row>
    <row r="208" spans="1:3" x14ac:dyDescent="0.3">
      <c r="A208" s="1">
        <v>21032</v>
      </c>
      <c r="B208" s="1" t="s">
        <v>1157</v>
      </c>
      <c r="C208" s="2" t="s">
        <v>996</v>
      </c>
    </row>
    <row r="209" spans="1:3" x14ac:dyDescent="0.3">
      <c r="A209" s="1">
        <v>21791</v>
      </c>
      <c r="B209" s="3" t="s">
        <v>1158</v>
      </c>
      <c r="C209" s="4" t="s">
        <v>1041</v>
      </c>
    </row>
    <row r="210" spans="1:3" x14ac:dyDescent="0.3">
      <c r="A210" s="1">
        <v>21904</v>
      </c>
      <c r="B210" s="1" t="s">
        <v>1159</v>
      </c>
      <c r="C210" s="2" t="s">
        <v>1017</v>
      </c>
    </row>
    <row r="211" spans="1:3" x14ac:dyDescent="0.3">
      <c r="A211" s="1">
        <v>21210</v>
      </c>
      <c r="B211" s="3" t="s">
        <v>992</v>
      </c>
      <c r="C211" s="4" t="s">
        <v>993</v>
      </c>
    </row>
    <row r="212" spans="1:3" x14ac:dyDescent="0.3">
      <c r="A212" s="1">
        <v>21782</v>
      </c>
      <c r="B212" s="1" t="s">
        <v>1160</v>
      </c>
      <c r="C212" s="2" t="s">
        <v>999</v>
      </c>
    </row>
    <row r="213" spans="1:3" x14ac:dyDescent="0.3">
      <c r="A213" s="1">
        <v>21639</v>
      </c>
      <c r="B213" s="3" t="s">
        <v>1161</v>
      </c>
      <c r="C213" s="4" t="s">
        <v>1095</v>
      </c>
    </row>
    <row r="214" spans="1:3" x14ac:dyDescent="0.3">
      <c r="A214" s="1">
        <v>21822</v>
      </c>
      <c r="B214" s="1" t="s">
        <v>1162</v>
      </c>
      <c r="C214" s="2" t="s">
        <v>1062</v>
      </c>
    </row>
    <row r="215" spans="1:3" x14ac:dyDescent="0.3">
      <c r="A215" s="1">
        <v>21154</v>
      </c>
      <c r="B215" s="3" t="s">
        <v>1163</v>
      </c>
      <c r="C215" s="4" t="s">
        <v>1045</v>
      </c>
    </row>
    <row r="216" spans="1:3" x14ac:dyDescent="0.3">
      <c r="A216" s="1">
        <v>21048</v>
      </c>
      <c r="B216" s="1" t="s">
        <v>1164</v>
      </c>
      <c r="C216" s="2" t="s">
        <v>1041</v>
      </c>
    </row>
    <row r="217" spans="1:3" x14ac:dyDescent="0.3">
      <c r="A217" s="1">
        <v>21226</v>
      </c>
      <c r="B217" s="3" t="s">
        <v>1165</v>
      </c>
      <c r="C217" s="4" t="s">
        <v>996</v>
      </c>
    </row>
    <row r="218" spans="1:3" x14ac:dyDescent="0.3">
      <c r="A218" s="1">
        <v>21643</v>
      </c>
      <c r="B218" s="1" t="s">
        <v>1166</v>
      </c>
      <c r="C218" s="2" t="s">
        <v>1097</v>
      </c>
    </row>
    <row r="219" spans="1:3" x14ac:dyDescent="0.3">
      <c r="A219" s="1">
        <v>20637</v>
      </c>
      <c r="B219" s="3" t="s">
        <v>1167</v>
      </c>
      <c r="C219" s="4" t="s">
        <v>1070</v>
      </c>
    </row>
    <row r="220" spans="1:3" x14ac:dyDescent="0.3">
      <c r="A220" s="1">
        <v>21918</v>
      </c>
      <c r="B220" s="1" t="s">
        <v>1168</v>
      </c>
      <c r="C220" s="2" t="s">
        <v>1017</v>
      </c>
    </row>
    <row r="221" spans="1:3" x14ac:dyDescent="0.3">
      <c r="A221" s="1">
        <v>21087</v>
      </c>
      <c r="B221" s="3" t="s">
        <v>1169</v>
      </c>
      <c r="C221" s="4" t="s">
        <v>992</v>
      </c>
    </row>
    <row r="222" spans="1:3" x14ac:dyDescent="0.3">
      <c r="A222" s="1">
        <v>21651</v>
      </c>
      <c r="B222" s="1" t="s">
        <v>1170</v>
      </c>
      <c r="C222" s="2" t="s">
        <v>1131</v>
      </c>
    </row>
    <row r="223" spans="1:3" x14ac:dyDescent="0.3">
      <c r="A223" s="1">
        <v>21673</v>
      </c>
      <c r="B223" s="3" t="s">
        <v>1171</v>
      </c>
      <c r="C223" s="4" t="s">
        <v>1057</v>
      </c>
    </row>
    <row r="224" spans="1:3" x14ac:dyDescent="0.3">
      <c r="A224" s="1">
        <v>21029</v>
      </c>
      <c r="B224" s="1" t="s">
        <v>1172</v>
      </c>
      <c r="C224" s="2" t="s">
        <v>1038</v>
      </c>
    </row>
    <row r="225" spans="1:3" x14ac:dyDescent="0.3">
      <c r="A225" s="1">
        <v>21660</v>
      </c>
      <c r="B225" s="3" t="s">
        <v>1173</v>
      </c>
      <c r="C225" s="4" t="s">
        <v>1095</v>
      </c>
    </row>
    <row r="226" spans="1:3" x14ac:dyDescent="0.3">
      <c r="A226" s="1">
        <v>20714</v>
      </c>
      <c r="B226" s="1" t="s">
        <v>1174</v>
      </c>
      <c r="C226" s="2" t="s">
        <v>1055</v>
      </c>
    </row>
    <row r="227" spans="1:3" x14ac:dyDescent="0.3">
      <c r="A227" s="1">
        <v>21915</v>
      </c>
      <c r="B227" s="3" t="s">
        <v>1175</v>
      </c>
      <c r="C227" s="4" t="s">
        <v>1017</v>
      </c>
    </row>
    <row r="228" spans="1:3" x14ac:dyDescent="0.3">
      <c r="A228" s="1">
        <v>20816</v>
      </c>
      <c r="B228" s="1" t="s">
        <v>1087</v>
      </c>
      <c r="C228" s="2" t="s">
        <v>991</v>
      </c>
    </row>
    <row r="229" spans="1:3" x14ac:dyDescent="0.3">
      <c r="A229" s="1">
        <v>20860</v>
      </c>
      <c r="B229" s="3" t="s">
        <v>1176</v>
      </c>
      <c r="C229" s="4" t="s">
        <v>991</v>
      </c>
    </row>
    <row r="230" spans="1:3" x14ac:dyDescent="0.3">
      <c r="A230" s="1">
        <v>21849</v>
      </c>
      <c r="B230" s="1" t="s">
        <v>1177</v>
      </c>
      <c r="C230" s="2" t="s">
        <v>1021</v>
      </c>
    </row>
    <row r="231" spans="1:3" x14ac:dyDescent="0.3">
      <c r="A231" s="1">
        <v>21638</v>
      </c>
      <c r="B231" s="3" t="s">
        <v>1178</v>
      </c>
      <c r="C231" s="4" t="s">
        <v>1141</v>
      </c>
    </row>
    <row r="232" spans="1:3" x14ac:dyDescent="0.3">
      <c r="A232" s="1">
        <v>21710</v>
      </c>
      <c r="B232" s="1" t="s">
        <v>1179</v>
      </c>
      <c r="C232" s="2" t="s">
        <v>1027</v>
      </c>
    </row>
    <row r="233" spans="1:3" x14ac:dyDescent="0.3">
      <c r="A233" s="1">
        <v>20833</v>
      </c>
      <c r="B233" s="3" t="s">
        <v>1180</v>
      </c>
      <c r="C233" s="4" t="s">
        <v>991</v>
      </c>
    </row>
    <row r="234" spans="1:3" x14ac:dyDescent="0.3">
      <c r="A234" s="1">
        <v>21152</v>
      </c>
      <c r="B234" s="1" t="s">
        <v>1181</v>
      </c>
      <c r="C234" s="2" t="s">
        <v>992</v>
      </c>
    </row>
    <row r="235" spans="1:3" x14ac:dyDescent="0.3">
      <c r="A235" s="1">
        <v>21128</v>
      </c>
      <c r="B235" s="3" t="s">
        <v>1182</v>
      </c>
      <c r="C235" s="4" t="s">
        <v>992</v>
      </c>
    </row>
    <row r="236" spans="1:3" x14ac:dyDescent="0.3">
      <c r="A236" s="1">
        <v>21850</v>
      </c>
      <c r="B236" s="1" t="s">
        <v>1183</v>
      </c>
      <c r="C236" s="2" t="s">
        <v>1021</v>
      </c>
    </row>
    <row r="237" spans="1:3" x14ac:dyDescent="0.3">
      <c r="A237" s="1">
        <v>20764</v>
      </c>
      <c r="B237" s="3" t="s">
        <v>1184</v>
      </c>
      <c r="C237" s="4" t="s">
        <v>996</v>
      </c>
    </row>
    <row r="238" spans="1:3" x14ac:dyDescent="0.3">
      <c r="A238" s="1">
        <v>21054</v>
      </c>
      <c r="B238" s="1" t="s">
        <v>1185</v>
      </c>
      <c r="C238" s="2" t="s">
        <v>996</v>
      </c>
    </row>
    <row r="239" spans="1:3" x14ac:dyDescent="0.3">
      <c r="A239" s="1">
        <v>21727</v>
      </c>
      <c r="B239" s="3" t="s">
        <v>1186</v>
      </c>
      <c r="C239" s="4" t="s">
        <v>1027</v>
      </c>
    </row>
    <row r="240" spans="1:3" x14ac:dyDescent="0.3">
      <c r="A240" s="1">
        <v>21830</v>
      </c>
      <c r="B240" s="1" t="s">
        <v>1187</v>
      </c>
      <c r="C240" s="2" t="s">
        <v>1021</v>
      </c>
    </row>
    <row r="241" spans="1:3" x14ac:dyDescent="0.3">
      <c r="A241" s="1">
        <v>21017</v>
      </c>
      <c r="B241" s="3" t="s">
        <v>1188</v>
      </c>
      <c r="C241" s="4" t="s">
        <v>1045</v>
      </c>
    </row>
    <row r="242" spans="1:3" x14ac:dyDescent="0.3">
      <c r="A242" s="1">
        <v>20837</v>
      </c>
      <c r="B242" s="1" t="s">
        <v>1189</v>
      </c>
      <c r="C242" s="2" t="s">
        <v>991</v>
      </c>
    </row>
    <row r="243" spans="1:3" x14ac:dyDescent="0.3">
      <c r="A243" s="1">
        <v>21102</v>
      </c>
      <c r="B243" s="3" t="s">
        <v>1190</v>
      </c>
      <c r="C243" s="4" t="s">
        <v>1041</v>
      </c>
    </row>
    <row r="244" spans="1:3" x14ac:dyDescent="0.3">
      <c r="A244" s="1">
        <v>21871</v>
      </c>
      <c r="B244" s="1" t="s">
        <v>1191</v>
      </c>
      <c r="C244" s="2" t="s">
        <v>1108</v>
      </c>
    </row>
    <row r="245" spans="1:3" x14ac:dyDescent="0.3">
      <c r="A245" s="1">
        <v>21635</v>
      </c>
      <c r="B245" s="3" t="s">
        <v>1192</v>
      </c>
      <c r="C245" s="4" t="s">
        <v>1131</v>
      </c>
    </row>
    <row r="246" spans="1:3" x14ac:dyDescent="0.3">
      <c r="A246" s="1">
        <v>21561</v>
      </c>
      <c r="B246" s="1" t="s">
        <v>1193</v>
      </c>
      <c r="C246" s="2" t="s">
        <v>1064</v>
      </c>
    </row>
    <row r="247" spans="1:3" x14ac:dyDescent="0.3">
      <c r="A247" s="1">
        <v>21716</v>
      </c>
      <c r="B247" s="3" t="s">
        <v>1194</v>
      </c>
      <c r="C247" s="4" t="s">
        <v>1027</v>
      </c>
    </row>
    <row r="248" spans="1:3" x14ac:dyDescent="0.3">
      <c r="A248" s="1">
        <v>21663</v>
      </c>
      <c r="B248" s="1" t="s">
        <v>1195</v>
      </c>
      <c r="C248" s="2" t="s">
        <v>1057</v>
      </c>
    </row>
    <row r="249" spans="1:3" x14ac:dyDescent="0.3">
      <c r="A249" s="1">
        <v>21545</v>
      </c>
      <c r="B249" s="3" t="s">
        <v>1196</v>
      </c>
      <c r="C249" s="4" t="s">
        <v>1032</v>
      </c>
    </row>
    <row r="250" spans="1:3" x14ac:dyDescent="0.3">
      <c r="A250" s="1">
        <v>20755</v>
      </c>
      <c r="B250" s="1" t="s">
        <v>1197</v>
      </c>
      <c r="C250" s="2" t="s">
        <v>996</v>
      </c>
    </row>
    <row r="251" spans="1:3" x14ac:dyDescent="0.3">
      <c r="A251" s="1">
        <v>21756</v>
      </c>
      <c r="B251" s="3" t="s">
        <v>1198</v>
      </c>
      <c r="C251" s="4" t="s">
        <v>999</v>
      </c>
    </row>
    <row r="252" spans="1:3" x14ac:dyDescent="0.3">
      <c r="A252" s="1">
        <v>21874</v>
      </c>
      <c r="B252" s="1" t="s">
        <v>1199</v>
      </c>
      <c r="C252" s="2" t="s">
        <v>1021</v>
      </c>
    </row>
    <row r="253" spans="1:3" x14ac:dyDescent="0.3">
      <c r="A253" s="1">
        <v>21658</v>
      </c>
      <c r="B253" s="3" t="s">
        <v>1200</v>
      </c>
      <c r="C253" s="4" t="s">
        <v>1141</v>
      </c>
    </row>
    <row r="254" spans="1:3" x14ac:dyDescent="0.3">
      <c r="A254" s="1">
        <v>21034</v>
      </c>
      <c r="B254" s="1" t="s">
        <v>1201</v>
      </c>
      <c r="C254" s="2" t="s">
        <v>1045</v>
      </c>
    </row>
    <row r="255" spans="1:3" x14ac:dyDescent="0.3">
      <c r="A255" s="1">
        <v>21531</v>
      </c>
      <c r="B255" s="3" t="s">
        <v>1202</v>
      </c>
      <c r="C255" s="4" t="s">
        <v>1064</v>
      </c>
    </row>
    <row r="256" spans="1:3" x14ac:dyDescent="0.3">
      <c r="A256" s="1">
        <v>20623</v>
      </c>
      <c r="B256" s="1" t="s">
        <v>1203</v>
      </c>
      <c r="C256" s="2" t="s">
        <v>989</v>
      </c>
    </row>
    <row r="257" spans="1:3" x14ac:dyDescent="0.3">
      <c r="A257" s="1">
        <v>21755</v>
      </c>
      <c r="B257" s="3" t="s">
        <v>1204</v>
      </c>
      <c r="C257" s="4" t="s">
        <v>1027</v>
      </c>
    </row>
    <row r="258" spans="1:3" x14ac:dyDescent="0.3">
      <c r="A258" s="1">
        <v>20763</v>
      </c>
      <c r="B258" s="1" t="s">
        <v>1205</v>
      </c>
      <c r="C258" s="2" t="s">
        <v>1038</v>
      </c>
    </row>
    <row r="259" spans="1:3" x14ac:dyDescent="0.3">
      <c r="A259" s="1">
        <v>21758</v>
      </c>
      <c r="B259" s="3" t="s">
        <v>1206</v>
      </c>
      <c r="C259" s="4" t="s">
        <v>1027</v>
      </c>
    </row>
    <row r="260" spans="1:3" x14ac:dyDescent="0.3">
      <c r="A260" s="1">
        <v>21750</v>
      </c>
      <c r="B260" s="1" t="s">
        <v>1207</v>
      </c>
      <c r="C260" s="2" t="s">
        <v>999</v>
      </c>
    </row>
    <row r="261" spans="1:3" x14ac:dyDescent="0.3">
      <c r="A261" s="1">
        <v>20736</v>
      </c>
      <c r="B261" s="3" t="s">
        <v>1208</v>
      </c>
      <c r="C261" s="4" t="s">
        <v>1055</v>
      </c>
    </row>
    <row r="262" spans="1:3" x14ac:dyDescent="0.3">
      <c r="A262" s="1">
        <v>21838</v>
      </c>
      <c r="B262" s="1" t="s">
        <v>1209</v>
      </c>
      <c r="C262" s="2" t="s">
        <v>1108</v>
      </c>
    </row>
    <row r="263" spans="1:3" x14ac:dyDescent="0.3">
      <c r="A263" s="1">
        <v>21562</v>
      </c>
      <c r="B263" s="3" t="s">
        <v>1210</v>
      </c>
      <c r="C263" s="4" t="s">
        <v>1032</v>
      </c>
    </row>
    <row r="264" spans="1:3" x14ac:dyDescent="0.3">
      <c r="A264" s="1">
        <v>21661</v>
      </c>
      <c r="B264" s="1" t="s">
        <v>1211</v>
      </c>
      <c r="C264" s="2" t="s">
        <v>1131</v>
      </c>
    </row>
    <row r="265" spans="1:3" x14ac:dyDescent="0.3">
      <c r="A265" s="1">
        <v>21773</v>
      </c>
      <c r="B265" s="3" t="s">
        <v>1212</v>
      </c>
      <c r="C265" s="4" t="s">
        <v>1027</v>
      </c>
    </row>
    <row r="266" spans="1:3" x14ac:dyDescent="0.3">
      <c r="A266" s="1">
        <v>21555</v>
      </c>
      <c r="B266" s="1" t="s">
        <v>1213</v>
      </c>
      <c r="C266" s="2" t="s">
        <v>1032</v>
      </c>
    </row>
    <row r="267" spans="1:3" x14ac:dyDescent="0.3">
      <c r="A267" s="1">
        <v>21530</v>
      </c>
      <c r="B267" s="3" t="s">
        <v>1214</v>
      </c>
      <c r="C267" s="4" t="s">
        <v>1032</v>
      </c>
    </row>
    <row r="268" spans="1:3" x14ac:dyDescent="0.3">
      <c r="A268" s="1">
        <v>20776</v>
      </c>
      <c r="B268" s="1" t="s">
        <v>1215</v>
      </c>
      <c r="C268" s="2" t="s">
        <v>996</v>
      </c>
    </row>
    <row r="269" spans="1:3" x14ac:dyDescent="0.3">
      <c r="A269" s="1">
        <v>20695</v>
      </c>
      <c r="B269" s="3" t="s">
        <v>1216</v>
      </c>
      <c r="C269" s="4" t="s">
        <v>1070</v>
      </c>
    </row>
    <row r="270" spans="1:3" x14ac:dyDescent="0.3">
      <c r="A270" s="1">
        <v>21162</v>
      </c>
      <c r="B270" s="1" t="s">
        <v>1217</v>
      </c>
      <c r="C270" s="2" t="s">
        <v>992</v>
      </c>
    </row>
    <row r="271" spans="1:3" x14ac:dyDescent="0.3">
      <c r="A271" s="1">
        <v>21539</v>
      </c>
      <c r="B271" s="3" t="s">
        <v>1218</v>
      </c>
      <c r="C271" s="4" t="s">
        <v>1032</v>
      </c>
    </row>
    <row r="272" spans="1:3" x14ac:dyDescent="0.3">
      <c r="A272" s="1">
        <v>21837</v>
      </c>
      <c r="B272" s="1" t="s">
        <v>1219</v>
      </c>
      <c r="C272" s="2" t="s">
        <v>1021</v>
      </c>
    </row>
    <row r="273" spans="1:3" x14ac:dyDescent="0.3">
      <c r="A273" s="1">
        <v>21841</v>
      </c>
      <c r="B273" s="3" t="s">
        <v>1220</v>
      </c>
      <c r="C273" s="4" t="s">
        <v>1062</v>
      </c>
    </row>
    <row r="274" spans="1:3" x14ac:dyDescent="0.3">
      <c r="A274" s="1">
        <v>21140</v>
      </c>
      <c r="B274" s="1" t="s">
        <v>1221</v>
      </c>
      <c r="C274" s="2" t="s">
        <v>996</v>
      </c>
    </row>
    <row r="275" spans="1:3" x14ac:dyDescent="0.3">
      <c r="A275" s="1">
        <v>21917</v>
      </c>
      <c r="B275" s="3" t="s">
        <v>1222</v>
      </c>
      <c r="C275" s="4" t="s">
        <v>1017</v>
      </c>
    </row>
    <row r="276" spans="1:3" x14ac:dyDescent="0.3">
      <c r="A276" s="1">
        <v>21659</v>
      </c>
      <c r="B276" s="1" t="s">
        <v>1223</v>
      </c>
      <c r="C276" s="2" t="s">
        <v>1097</v>
      </c>
    </row>
    <row r="277" spans="1:3" x14ac:dyDescent="0.3">
      <c r="A277" s="1">
        <v>21161</v>
      </c>
      <c r="B277" s="3" t="s">
        <v>1224</v>
      </c>
      <c r="C277" s="4" t="s">
        <v>1045</v>
      </c>
    </row>
    <row r="278" spans="1:3" x14ac:dyDescent="0.3">
      <c r="A278" s="1">
        <v>20676</v>
      </c>
      <c r="B278" s="1" t="s">
        <v>1225</v>
      </c>
      <c r="C278" s="2" t="s">
        <v>1055</v>
      </c>
    </row>
    <row r="279" spans="1:3" x14ac:dyDescent="0.3">
      <c r="A279" s="1">
        <v>21776</v>
      </c>
      <c r="B279" s="3" t="s">
        <v>1226</v>
      </c>
      <c r="C279" s="4" t="s">
        <v>1041</v>
      </c>
    </row>
    <row r="280" spans="1:3" x14ac:dyDescent="0.3">
      <c r="A280" s="1">
        <v>21754</v>
      </c>
      <c r="B280" s="1" t="s">
        <v>1227</v>
      </c>
      <c r="C280" s="2" t="s">
        <v>1027</v>
      </c>
    </row>
    <row r="281" spans="1:3" x14ac:dyDescent="0.3">
      <c r="A281" s="1">
        <v>21770</v>
      </c>
      <c r="B281" s="3" t="s">
        <v>1228</v>
      </c>
      <c r="C281" s="4" t="s">
        <v>1027</v>
      </c>
    </row>
    <row r="282" spans="1:3" x14ac:dyDescent="0.3">
      <c r="A282" s="1">
        <v>21155</v>
      </c>
      <c r="B282" s="1" t="s">
        <v>1229</v>
      </c>
      <c r="C282" s="2" t="s">
        <v>992</v>
      </c>
    </row>
    <row r="283" spans="1:3" x14ac:dyDescent="0.3">
      <c r="A283" s="1">
        <v>20664</v>
      </c>
      <c r="B283" s="3" t="s">
        <v>1230</v>
      </c>
      <c r="C283" s="4" t="s">
        <v>1070</v>
      </c>
    </row>
    <row r="284" spans="1:3" x14ac:dyDescent="0.3">
      <c r="A284" s="1">
        <v>21625</v>
      </c>
      <c r="B284" s="1" t="s">
        <v>1231</v>
      </c>
      <c r="C284" s="2" t="s">
        <v>1057</v>
      </c>
    </row>
    <row r="285" spans="1:3" x14ac:dyDescent="0.3">
      <c r="A285" s="1">
        <v>21678</v>
      </c>
      <c r="B285" s="3" t="s">
        <v>1232</v>
      </c>
      <c r="C285" s="4" t="s">
        <v>1131</v>
      </c>
    </row>
    <row r="286" spans="1:3" x14ac:dyDescent="0.3">
      <c r="A286" s="1">
        <v>21664</v>
      </c>
      <c r="B286" s="1" t="s">
        <v>1233</v>
      </c>
      <c r="C286" s="2" t="s">
        <v>1097</v>
      </c>
    </row>
    <row r="287" spans="1:3" x14ac:dyDescent="0.3">
      <c r="A287" s="1">
        <v>21711</v>
      </c>
      <c r="B287" s="3" t="s">
        <v>1234</v>
      </c>
      <c r="C287" s="4" t="s">
        <v>999</v>
      </c>
    </row>
    <row r="288" spans="1:3" x14ac:dyDescent="0.3">
      <c r="A288" s="1">
        <v>21919</v>
      </c>
      <c r="B288" s="1" t="s">
        <v>1235</v>
      </c>
      <c r="C288" s="2" t="s">
        <v>1017</v>
      </c>
    </row>
    <row r="289" spans="1:3" x14ac:dyDescent="0.3">
      <c r="A289" s="1">
        <v>21640</v>
      </c>
      <c r="B289" s="3" t="s">
        <v>1236</v>
      </c>
      <c r="C289" s="4" t="s">
        <v>1095</v>
      </c>
    </row>
    <row r="290" spans="1:3" x14ac:dyDescent="0.3">
      <c r="A290" s="1">
        <v>21035</v>
      </c>
      <c r="B290" s="1" t="s">
        <v>1237</v>
      </c>
      <c r="C290" s="2" t="s">
        <v>996</v>
      </c>
    </row>
    <row r="291" spans="1:3" x14ac:dyDescent="0.3">
      <c r="A291" s="1">
        <v>20842</v>
      </c>
      <c r="B291" s="3" t="s">
        <v>1238</v>
      </c>
      <c r="C291" s="4" t="s">
        <v>991</v>
      </c>
    </row>
    <row r="292" spans="1:3" x14ac:dyDescent="0.3">
      <c r="A292" s="1">
        <v>21912</v>
      </c>
      <c r="B292" s="1" t="s">
        <v>1239</v>
      </c>
      <c r="C292" s="2" t="s">
        <v>1017</v>
      </c>
    </row>
    <row r="293" spans="1:3" x14ac:dyDescent="0.3">
      <c r="A293" s="1">
        <v>21131</v>
      </c>
      <c r="B293" s="3" t="s">
        <v>1240</v>
      </c>
      <c r="C293" s="4" t="s">
        <v>992</v>
      </c>
    </row>
    <row r="294" spans="1:3" x14ac:dyDescent="0.3">
      <c r="A294" s="1">
        <v>21160</v>
      </c>
      <c r="B294" s="1" t="s">
        <v>1241</v>
      </c>
      <c r="C294" s="2" t="s">
        <v>1045</v>
      </c>
    </row>
    <row r="295" spans="1:3" x14ac:dyDescent="0.3">
      <c r="A295" s="1">
        <v>21120</v>
      </c>
      <c r="B295" s="3" t="s">
        <v>1242</v>
      </c>
      <c r="C295" s="4" t="s">
        <v>992</v>
      </c>
    </row>
    <row r="296" spans="1:3" x14ac:dyDescent="0.3">
      <c r="A296" s="1">
        <v>21719</v>
      </c>
      <c r="B296" s="1" t="s">
        <v>1243</v>
      </c>
      <c r="C296" s="2" t="s">
        <v>999</v>
      </c>
    </row>
    <row r="297" spans="1:3" x14ac:dyDescent="0.3">
      <c r="A297" s="1">
        <v>21520</v>
      </c>
      <c r="B297" s="3" t="s">
        <v>1244</v>
      </c>
      <c r="C297" s="4" t="s">
        <v>1064</v>
      </c>
    </row>
    <row r="298" spans="1:3" x14ac:dyDescent="0.3">
      <c r="A298" s="1">
        <v>21645</v>
      </c>
      <c r="B298" s="1" t="s">
        <v>1245</v>
      </c>
      <c r="C298" s="2" t="s">
        <v>1131</v>
      </c>
    </row>
    <row r="299" spans="1:3" x14ac:dyDescent="0.3">
      <c r="A299" s="1">
        <v>20675</v>
      </c>
      <c r="B299" s="3" t="s">
        <v>1246</v>
      </c>
      <c r="C299" s="4" t="s">
        <v>1070</v>
      </c>
    </row>
    <row r="300" spans="1:3" x14ac:dyDescent="0.3">
      <c r="A300" s="1">
        <v>21798</v>
      </c>
      <c r="B300" s="1" t="s">
        <v>1247</v>
      </c>
      <c r="C300" s="2" t="s">
        <v>1027</v>
      </c>
    </row>
    <row r="301" spans="1:3" x14ac:dyDescent="0.3">
      <c r="A301" s="1">
        <v>21913</v>
      </c>
      <c r="B301" s="3" t="s">
        <v>1248</v>
      </c>
      <c r="C301" s="4" t="s">
        <v>1017</v>
      </c>
    </row>
    <row r="302" spans="1:3" x14ac:dyDescent="0.3">
      <c r="A302" s="1">
        <v>21780</v>
      </c>
      <c r="B302" s="1" t="s">
        <v>1249</v>
      </c>
      <c r="C302" s="2" t="s">
        <v>1027</v>
      </c>
    </row>
    <row r="303" spans="1:3" x14ac:dyDescent="0.3">
      <c r="A303" s="1">
        <v>20608</v>
      </c>
      <c r="B303" s="3" t="s">
        <v>1250</v>
      </c>
      <c r="C303" s="4" t="s">
        <v>989</v>
      </c>
    </row>
    <row r="304" spans="1:3" x14ac:dyDescent="0.3">
      <c r="A304" s="1">
        <v>20662</v>
      </c>
      <c r="B304" s="1" t="s">
        <v>1251</v>
      </c>
      <c r="C304" s="2" t="s">
        <v>1070</v>
      </c>
    </row>
    <row r="305" spans="1:3" x14ac:dyDescent="0.3">
      <c r="A305" s="1">
        <v>21111</v>
      </c>
      <c r="B305" s="3" t="s">
        <v>1252</v>
      </c>
      <c r="C305" s="4" t="s">
        <v>992</v>
      </c>
    </row>
    <row r="306" spans="1:3" x14ac:dyDescent="0.3">
      <c r="A306" s="1">
        <v>21835</v>
      </c>
      <c r="B306" s="1" t="s">
        <v>1253</v>
      </c>
      <c r="C306" s="2" t="s">
        <v>1097</v>
      </c>
    </row>
    <row r="307" spans="1:3" x14ac:dyDescent="0.3">
      <c r="A307" s="1">
        <v>21668</v>
      </c>
      <c r="B307" s="3" t="s">
        <v>1254</v>
      </c>
      <c r="C307" s="4" t="s">
        <v>1141</v>
      </c>
    </row>
    <row r="308" spans="1:3" x14ac:dyDescent="0.3">
      <c r="A308" s="1">
        <v>21132</v>
      </c>
      <c r="B308" s="1" t="s">
        <v>1255</v>
      </c>
      <c r="C308" s="2" t="s">
        <v>1045</v>
      </c>
    </row>
    <row r="309" spans="1:3" x14ac:dyDescent="0.3">
      <c r="A309" s="1">
        <v>21607</v>
      </c>
      <c r="B309" s="3" t="s">
        <v>1256</v>
      </c>
      <c r="C309" s="4" t="s">
        <v>1141</v>
      </c>
    </row>
    <row r="310" spans="1:3" x14ac:dyDescent="0.3">
      <c r="A310" s="1">
        <v>21869</v>
      </c>
      <c r="B310" s="1" t="s">
        <v>1257</v>
      </c>
      <c r="C310" s="2" t="s">
        <v>1097</v>
      </c>
    </row>
    <row r="311" spans="1:3" x14ac:dyDescent="0.3">
      <c r="A311" s="1">
        <v>20620</v>
      </c>
      <c r="B311" s="3" t="s">
        <v>1258</v>
      </c>
      <c r="C311" s="4" t="s">
        <v>1053</v>
      </c>
    </row>
    <row r="312" spans="1:3" x14ac:dyDescent="0.3">
      <c r="A312" s="1">
        <v>20759</v>
      </c>
      <c r="B312" s="1" t="s">
        <v>1259</v>
      </c>
      <c r="C312" s="2" t="s">
        <v>1038</v>
      </c>
    </row>
    <row r="313" spans="1:3" x14ac:dyDescent="0.3">
      <c r="A313" s="1">
        <v>21028</v>
      </c>
      <c r="B313" s="3" t="s">
        <v>1260</v>
      </c>
      <c r="C313" s="4" t="s">
        <v>1045</v>
      </c>
    </row>
    <row r="314" spans="1:3" x14ac:dyDescent="0.3">
      <c r="A314" s="1">
        <v>21872</v>
      </c>
      <c r="B314" s="1" t="s">
        <v>1261</v>
      </c>
      <c r="C314" s="2" t="s">
        <v>1062</v>
      </c>
    </row>
    <row r="315" spans="1:3" x14ac:dyDescent="0.3">
      <c r="A315" s="1">
        <v>20684</v>
      </c>
      <c r="B315" s="3" t="s">
        <v>1262</v>
      </c>
      <c r="C315" s="4" t="s">
        <v>1053</v>
      </c>
    </row>
    <row r="316" spans="1:3" x14ac:dyDescent="0.3">
      <c r="A316" s="1">
        <v>21104</v>
      </c>
      <c r="B316" s="1" t="s">
        <v>1263</v>
      </c>
      <c r="C316" s="2" t="s">
        <v>1041</v>
      </c>
    </row>
    <row r="317" spans="1:3" x14ac:dyDescent="0.3">
      <c r="A317" s="1">
        <v>21541</v>
      </c>
      <c r="B317" s="3" t="s">
        <v>1264</v>
      </c>
      <c r="C317" s="4" t="s">
        <v>1064</v>
      </c>
    </row>
    <row r="318" spans="1:3" x14ac:dyDescent="0.3">
      <c r="A318" s="1">
        <v>21052</v>
      </c>
      <c r="B318" s="1" t="s">
        <v>1265</v>
      </c>
      <c r="C318" s="2" t="s">
        <v>992</v>
      </c>
    </row>
    <row r="319" spans="1:3" x14ac:dyDescent="0.3">
      <c r="A319" s="1">
        <v>21623</v>
      </c>
      <c r="B319" s="3" t="s">
        <v>1266</v>
      </c>
      <c r="C319" s="4" t="s">
        <v>1141</v>
      </c>
    </row>
    <row r="320" spans="1:3" x14ac:dyDescent="0.3">
      <c r="A320" s="1">
        <v>20609</v>
      </c>
      <c r="B320" s="1" t="s">
        <v>1267</v>
      </c>
      <c r="C320" s="2" t="s">
        <v>1053</v>
      </c>
    </row>
    <row r="321" spans="1:3" x14ac:dyDescent="0.3">
      <c r="A321" s="1">
        <v>21856</v>
      </c>
      <c r="B321" s="3" t="s">
        <v>1268</v>
      </c>
      <c r="C321" s="4" t="s">
        <v>1021</v>
      </c>
    </row>
    <row r="322" spans="1:3" x14ac:dyDescent="0.3">
      <c r="A322" s="1">
        <v>21521</v>
      </c>
      <c r="B322" s="1" t="s">
        <v>1269</v>
      </c>
      <c r="C322" s="2" t="s">
        <v>1032</v>
      </c>
    </row>
    <row r="323" spans="1:3" x14ac:dyDescent="0.3">
      <c r="A323" s="1">
        <v>20778</v>
      </c>
      <c r="B323" s="3" t="s">
        <v>1270</v>
      </c>
      <c r="C323" s="4" t="s">
        <v>996</v>
      </c>
    </row>
    <row r="324" spans="1:3" x14ac:dyDescent="0.3">
      <c r="A324" s="1">
        <v>21657</v>
      </c>
      <c r="B324" s="1" t="s">
        <v>1271</v>
      </c>
      <c r="C324" s="2" t="s">
        <v>1141</v>
      </c>
    </row>
    <row r="325" spans="1:3" x14ac:dyDescent="0.3">
      <c r="A325" s="1">
        <v>21734</v>
      </c>
      <c r="B325" s="3" t="s">
        <v>1272</v>
      </c>
      <c r="C325" s="4" t="s">
        <v>999</v>
      </c>
    </row>
    <row r="326" spans="1:3" x14ac:dyDescent="0.3">
      <c r="A326" s="1">
        <v>21862</v>
      </c>
      <c r="B326" s="1" t="s">
        <v>1273</v>
      </c>
      <c r="C326" s="2" t="s">
        <v>1062</v>
      </c>
    </row>
    <row r="327" spans="1:3" x14ac:dyDescent="0.3">
      <c r="A327" s="1">
        <v>21631</v>
      </c>
      <c r="B327" s="3" t="s">
        <v>1274</v>
      </c>
      <c r="C327" s="4" t="s">
        <v>1097</v>
      </c>
    </row>
    <row r="328" spans="1:3" x14ac:dyDescent="0.3">
      <c r="A328" s="1">
        <v>21636</v>
      </c>
      <c r="B328" s="1" t="s">
        <v>1275</v>
      </c>
      <c r="C328" s="2" t="s">
        <v>1095</v>
      </c>
    </row>
    <row r="329" spans="1:3" x14ac:dyDescent="0.3">
      <c r="A329" s="1">
        <v>21778</v>
      </c>
      <c r="B329" s="3" t="s">
        <v>1276</v>
      </c>
      <c r="C329" s="4" t="s">
        <v>1027</v>
      </c>
    </row>
    <row r="330" spans="1:3" x14ac:dyDescent="0.3">
      <c r="A330" s="1">
        <v>21813</v>
      </c>
      <c r="B330" s="1" t="s">
        <v>1277</v>
      </c>
      <c r="C330" s="2" t="s">
        <v>1062</v>
      </c>
    </row>
    <row r="331" spans="1:3" x14ac:dyDescent="0.3">
      <c r="A331" s="1">
        <v>21676</v>
      </c>
      <c r="B331" s="3" t="s">
        <v>1278</v>
      </c>
      <c r="C331" s="4" t="s">
        <v>1057</v>
      </c>
    </row>
    <row r="332" spans="1:3" x14ac:dyDescent="0.3">
      <c r="A332" s="1">
        <v>21665</v>
      </c>
      <c r="B332" s="1" t="s">
        <v>1279</v>
      </c>
      <c r="C332" s="2" t="s">
        <v>1057</v>
      </c>
    </row>
    <row r="333" spans="1:3" x14ac:dyDescent="0.3">
      <c r="A333" s="1">
        <v>21057</v>
      </c>
      <c r="B333" s="3" t="s">
        <v>1280</v>
      </c>
      <c r="C333" s="4" t="s">
        <v>992</v>
      </c>
    </row>
    <row r="334" spans="1:3" x14ac:dyDescent="0.3">
      <c r="A334" s="1">
        <v>21542</v>
      </c>
      <c r="B334" s="1" t="s">
        <v>1281</v>
      </c>
      <c r="C334" s="2" t="s">
        <v>1032</v>
      </c>
    </row>
    <row r="335" spans="1:3" x14ac:dyDescent="0.3">
      <c r="A335" s="1">
        <v>21777</v>
      </c>
      <c r="B335" s="3" t="s">
        <v>1282</v>
      </c>
      <c r="C335" s="4" t="s">
        <v>1027</v>
      </c>
    </row>
    <row r="336" spans="1:3" x14ac:dyDescent="0.3">
      <c r="A336" s="1">
        <v>21557</v>
      </c>
      <c r="B336" s="1" t="s">
        <v>1283</v>
      </c>
      <c r="C336" s="2" t="s">
        <v>1032</v>
      </c>
    </row>
    <row r="337" spans="1:3" x14ac:dyDescent="0.3">
      <c r="A337" s="1">
        <v>20612</v>
      </c>
      <c r="B337" s="3" t="s">
        <v>1284</v>
      </c>
      <c r="C337" s="4" t="s">
        <v>1070</v>
      </c>
    </row>
    <row r="338" spans="1:3" x14ac:dyDescent="0.3">
      <c r="A338" s="1">
        <v>21671</v>
      </c>
      <c r="B338" s="1" t="s">
        <v>1285</v>
      </c>
      <c r="C338" s="2" t="s">
        <v>1057</v>
      </c>
    </row>
    <row r="339" spans="1:3" x14ac:dyDescent="0.3">
      <c r="A339" s="1">
        <v>21522</v>
      </c>
      <c r="B339" s="3" t="s">
        <v>1286</v>
      </c>
      <c r="C339" s="4" t="s">
        <v>1064</v>
      </c>
    </row>
    <row r="340" spans="1:3" x14ac:dyDescent="0.3">
      <c r="A340" s="1">
        <v>20677</v>
      </c>
      <c r="B340" s="1" t="s">
        <v>1287</v>
      </c>
      <c r="C340" s="2" t="s">
        <v>1070</v>
      </c>
    </row>
    <row r="341" spans="1:3" x14ac:dyDescent="0.3">
      <c r="A341" s="1">
        <v>20777</v>
      </c>
      <c r="B341" s="3" t="s">
        <v>1288</v>
      </c>
      <c r="C341" s="4" t="s">
        <v>1038</v>
      </c>
    </row>
    <row r="342" spans="1:3" x14ac:dyDescent="0.3">
      <c r="A342" s="1">
        <v>21767</v>
      </c>
      <c r="B342" s="1" t="s">
        <v>1289</v>
      </c>
      <c r="C342" s="2" t="s">
        <v>999</v>
      </c>
    </row>
    <row r="343" spans="1:3" x14ac:dyDescent="0.3">
      <c r="A343" s="1">
        <v>21628</v>
      </c>
      <c r="B343" s="3" t="s">
        <v>1290</v>
      </c>
      <c r="C343" s="4" t="s">
        <v>1141</v>
      </c>
    </row>
    <row r="344" spans="1:3" x14ac:dyDescent="0.3">
      <c r="A344" s="1">
        <v>20861</v>
      </c>
      <c r="B344" s="1" t="s">
        <v>1291</v>
      </c>
      <c r="C344" s="2" t="s">
        <v>991</v>
      </c>
    </row>
    <row r="345" spans="1:3" x14ac:dyDescent="0.3">
      <c r="A345" s="1">
        <v>20751</v>
      </c>
      <c r="B345" s="3" t="s">
        <v>1292</v>
      </c>
      <c r="C345" s="4" t="s">
        <v>996</v>
      </c>
    </row>
    <row r="346" spans="1:3" x14ac:dyDescent="0.3">
      <c r="A346" s="1">
        <v>20606</v>
      </c>
      <c r="B346" s="1" t="s">
        <v>1293</v>
      </c>
      <c r="C346" s="2" t="s">
        <v>1053</v>
      </c>
    </row>
    <row r="347" spans="1:3" x14ac:dyDescent="0.3">
      <c r="A347" s="1">
        <v>20625</v>
      </c>
      <c r="B347" s="3" t="s">
        <v>1294</v>
      </c>
      <c r="C347" s="4" t="s">
        <v>1070</v>
      </c>
    </row>
    <row r="348" spans="1:3" x14ac:dyDescent="0.3">
      <c r="A348" s="1">
        <v>20688</v>
      </c>
      <c r="B348" s="1" t="s">
        <v>1295</v>
      </c>
      <c r="C348" s="2" t="s">
        <v>1055</v>
      </c>
    </row>
    <row r="349" spans="1:3" x14ac:dyDescent="0.3">
      <c r="A349" s="1">
        <v>21654</v>
      </c>
      <c r="B349" s="3" t="s">
        <v>1296</v>
      </c>
      <c r="C349" s="4" t="s">
        <v>1057</v>
      </c>
    </row>
    <row r="350" spans="1:3" x14ac:dyDescent="0.3">
      <c r="A350" s="1">
        <v>21810</v>
      </c>
      <c r="B350" s="1" t="s">
        <v>1297</v>
      </c>
      <c r="C350" s="2" t="s">
        <v>1021</v>
      </c>
    </row>
    <row r="351" spans="1:3" x14ac:dyDescent="0.3">
      <c r="A351" s="1">
        <v>20818</v>
      </c>
      <c r="B351" s="3" t="s">
        <v>1298</v>
      </c>
      <c r="C351" s="4" t="s">
        <v>991</v>
      </c>
    </row>
    <row r="352" spans="1:3" x14ac:dyDescent="0.3">
      <c r="A352" s="1">
        <v>21723</v>
      </c>
      <c r="B352" s="1" t="s">
        <v>1299</v>
      </c>
      <c r="C352" s="2" t="s">
        <v>1038</v>
      </c>
    </row>
    <row r="353" spans="1:3" x14ac:dyDescent="0.3">
      <c r="A353" s="1">
        <v>21821</v>
      </c>
      <c r="B353" s="3" t="s">
        <v>1300</v>
      </c>
      <c r="C353" s="4" t="s">
        <v>1108</v>
      </c>
    </row>
    <row r="354" spans="1:3" x14ac:dyDescent="0.3">
      <c r="A354" s="1">
        <v>20615</v>
      </c>
      <c r="B354" s="1" t="s">
        <v>1301</v>
      </c>
      <c r="C354" s="2" t="s">
        <v>1055</v>
      </c>
    </row>
    <row r="355" spans="1:3" x14ac:dyDescent="0.3">
      <c r="A355" s="1">
        <v>21865</v>
      </c>
      <c r="B355" s="3" t="s">
        <v>1302</v>
      </c>
      <c r="C355" s="4" t="s">
        <v>1021</v>
      </c>
    </row>
    <row r="356" spans="1:3" x14ac:dyDescent="0.3">
      <c r="A356" s="1">
        <v>21610</v>
      </c>
      <c r="B356" s="1" t="s">
        <v>1303</v>
      </c>
      <c r="C356" s="2" t="s">
        <v>1131</v>
      </c>
    </row>
    <row r="357" spans="1:3" x14ac:dyDescent="0.3">
      <c r="A357" s="1">
        <v>21622</v>
      </c>
      <c r="B357" s="3" t="s">
        <v>1304</v>
      </c>
      <c r="C357" s="4" t="s">
        <v>1097</v>
      </c>
    </row>
    <row r="358" spans="1:3" x14ac:dyDescent="0.3">
      <c r="A358" s="1">
        <v>20868</v>
      </c>
      <c r="B358" s="1" t="s">
        <v>1305</v>
      </c>
      <c r="C358" s="2" t="s">
        <v>991</v>
      </c>
    </row>
    <row r="359" spans="1:3" x14ac:dyDescent="0.3">
      <c r="A359" s="1">
        <v>20621</v>
      </c>
      <c r="B359" s="3" t="s">
        <v>1306</v>
      </c>
      <c r="C359" s="4" t="s">
        <v>1053</v>
      </c>
    </row>
    <row r="360" spans="1:3" x14ac:dyDescent="0.3">
      <c r="A360" s="1">
        <v>20626</v>
      </c>
      <c r="B360" s="1" t="s">
        <v>1307</v>
      </c>
      <c r="C360" s="2" t="s">
        <v>1053</v>
      </c>
    </row>
    <row r="361" spans="1:3" x14ac:dyDescent="0.3">
      <c r="A361" s="1">
        <v>21130</v>
      </c>
      <c r="B361" s="3" t="s">
        <v>1308</v>
      </c>
      <c r="C361" s="4" t="s">
        <v>1045</v>
      </c>
    </row>
    <row r="362" spans="1:3" x14ac:dyDescent="0.3">
      <c r="A362" s="1">
        <v>21612</v>
      </c>
      <c r="B362" s="1" t="s">
        <v>1309</v>
      </c>
      <c r="C362" s="2" t="s">
        <v>1057</v>
      </c>
    </row>
    <row r="363" spans="1:3" x14ac:dyDescent="0.3">
      <c r="A363" s="1">
        <v>21864</v>
      </c>
      <c r="B363" s="3" t="s">
        <v>1310</v>
      </c>
      <c r="C363" s="4" t="s">
        <v>1062</v>
      </c>
    </row>
    <row r="364" spans="1:3" x14ac:dyDescent="0.3">
      <c r="A364" s="1">
        <v>21738</v>
      </c>
      <c r="B364" s="1" t="s">
        <v>1311</v>
      </c>
      <c r="C364" s="2" t="s">
        <v>1038</v>
      </c>
    </row>
    <row r="365" spans="1:3" x14ac:dyDescent="0.3">
      <c r="A365" s="1">
        <v>21861</v>
      </c>
      <c r="B365" s="3" t="s">
        <v>1312</v>
      </c>
      <c r="C365" s="4" t="s">
        <v>1021</v>
      </c>
    </row>
    <row r="366" spans="1:3" x14ac:dyDescent="0.3">
      <c r="A366" s="1">
        <v>20629</v>
      </c>
      <c r="B366" s="1" t="s">
        <v>1313</v>
      </c>
      <c r="C366" s="2" t="s">
        <v>1055</v>
      </c>
    </row>
    <row r="367" spans="1:3" x14ac:dyDescent="0.3">
      <c r="A367" s="1">
        <v>21794</v>
      </c>
      <c r="B367" s="3" t="s">
        <v>1314</v>
      </c>
      <c r="C367" s="4" t="s">
        <v>1038</v>
      </c>
    </row>
    <row r="368" spans="1:3" x14ac:dyDescent="0.3">
      <c r="A368" s="1">
        <v>20765</v>
      </c>
      <c r="B368" s="1" t="s">
        <v>1315</v>
      </c>
      <c r="C368" s="2" t="s">
        <v>996</v>
      </c>
    </row>
    <row r="369" spans="1:3" x14ac:dyDescent="0.3">
      <c r="A369" s="1">
        <v>21036</v>
      </c>
      <c r="B369" s="3" t="s">
        <v>1316</v>
      </c>
      <c r="C369" s="4" t="s">
        <v>1038</v>
      </c>
    </row>
    <row r="370" spans="1:3" x14ac:dyDescent="0.3">
      <c r="A370" s="1">
        <v>21402</v>
      </c>
      <c r="B370" s="1" t="s">
        <v>1042</v>
      </c>
      <c r="C370" s="2" t="s">
        <v>996</v>
      </c>
    </row>
    <row r="371" spans="1:3" x14ac:dyDescent="0.3">
      <c r="A371" s="1">
        <v>21737</v>
      </c>
      <c r="B371" s="3" t="s">
        <v>1317</v>
      </c>
      <c r="C371" s="4" t="s">
        <v>1038</v>
      </c>
    </row>
    <row r="372" spans="1:3" x14ac:dyDescent="0.3">
      <c r="A372" s="1">
        <v>21920</v>
      </c>
      <c r="B372" s="1" t="s">
        <v>1318</v>
      </c>
      <c r="C372" s="2" t="s">
        <v>1017</v>
      </c>
    </row>
    <row r="373" spans="1:3" x14ac:dyDescent="0.3">
      <c r="A373" s="1">
        <v>20779</v>
      </c>
      <c r="B373" s="3" t="s">
        <v>1319</v>
      </c>
      <c r="C373" s="4" t="s">
        <v>996</v>
      </c>
    </row>
    <row r="374" spans="1:3" x14ac:dyDescent="0.3">
      <c r="A374" s="1">
        <v>21153</v>
      </c>
      <c r="B374" s="1" t="s">
        <v>1320</v>
      </c>
      <c r="C374" s="2" t="s">
        <v>992</v>
      </c>
    </row>
    <row r="375" spans="1:3" x14ac:dyDescent="0.3">
      <c r="A375" s="1">
        <v>21529</v>
      </c>
      <c r="B375" s="3" t="s">
        <v>1321</v>
      </c>
      <c r="C375" s="4" t="s">
        <v>1032</v>
      </c>
    </row>
    <row r="376" spans="1:3" x14ac:dyDescent="0.3">
      <c r="A376" s="1">
        <v>21648</v>
      </c>
      <c r="B376" s="1" t="s">
        <v>1322</v>
      </c>
      <c r="C376" s="2" t="s">
        <v>1097</v>
      </c>
    </row>
    <row r="377" spans="1:3" x14ac:dyDescent="0.3">
      <c r="A377" s="1">
        <v>20658</v>
      </c>
      <c r="B377" s="3" t="s">
        <v>1323</v>
      </c>
      <c r="C377" s="4" t="s">
        <v>1070</v>
      </c>
    </row>
    <row r="378" spans="1:3" x14ac:dyDescent="0.3">
      <c r="A378" s="1">
        <v>21829</v>
      </c>
      <c r="B378" s="1" t="s">
        <v>1324</v>
      </c>
      <c r="C378" s="2" t="s">
        <v>1062</v>
      </c>
    </row>
    <row r="379" spans="1:3" x14ac:dyDescent="0.3">
      <c r="A379" s="1">
        <v>20680</v>
      </c>
      <c r="B379" s="3" t="s">
        <v>1325</v>
      </c>
      <c r="C379" s="4" t="s">
        <v>1053</v>
      </c>
    </row>
    <row r="380" spans="1:3" x14ac:dyDescent="0.3">
      <c r="A380" s="1">
        <v>20733</v>
      </c>
      <c r="B380" s="1" t="s">
        <v>1326</v>
      </c>
      <c r="C380" s="2" t="s">
        <v>996</v>
      </c>
    </row>
    <row r="381" spans="1:3" x14ac:dyDescent="0.3">
      <c r="A381" s="1">
        <v>21662</v>
      </c>
      <c r="B381" s="3" t="s">
        <v>1327</v>
      </c>
      <c r="C381" s="4" t="s">
        <v>1057</v>
      </c>
    </row>
    <row r="382" spans="1:3" x14ac:dyDescent="0.3">
      <c r="A382" s="1">
        <v>21766</v>
      </c>
      <c r="B382" s="1" t="s">
        <v>1328</v>
      </c>
      <c r="C382" s="2" t="s">
        <v>1032</v>
      </c>
    </row>
    <row r="383" spans="1:3" x14ac:dyDescent="0.3">
      <c r="A383" s="1">
        <v>20624</v>
      </c>
      <c r="B383" s="3" t="s">
        <v>1329</v>
      </c>
      <c r="C383" s="4" t="s">
        <v>1053</v>
      </c>
    </row>
    <row r="384" spans="1:3" x14ac:dyDescent="0.3">
      <c r="A384" s="1">
        <v>21013</v>
      </c>
      <c r="B384" s="1" t="s">
        <v>1330</v>
      </c>
      <c r="C384" s="2" t="s">
        <v>992</v>
      </c>
    </row>
    <row r="385" spans="1:3" x14ac:dyDescent="0.3">
      <c r="A385" s="1">
        <v>20645</v>
      </c>
      <c r="B385" s="3" t="s">
        <v>1331</v>
      </c>
      <c r="C385" s="4" t="s">
        <v>1070</v>
      </c>
    </row>
    <row r="386" spans="1:3" x14ac:dyDescent="0.3">
      <c r="A386" s="1">
        <v>21824</v>
      </c>
      <c r="B386" s="1" t="s">
        <v>1332</v>
      </c>
      <c r="C386" s="2" t="s">
        <v>1108</v>
      </c>
    </row>
    <row r="387" spans="1:3" x14ac:dyDescent="0.3">
      <c r="A387" s="1">
        <v>21914</v>
      </c>
      <c r="B387" s="3" t="s">
        <v>1333</v>
      </c>
      <c r="C387" s="4" t="s">
        <v>1017</v>
      </c>
    </row>
    <row r="388" spans="1:3" x14ac:dyDescent="0.3">
      <c r="A388" s="1">
        <v>20762</v>
      </c>
      <c r="B388" s="1" t="s">
        <v>1334</v>
      </c>
      <c r="C388" s="2" t="s">
        <v>989</v>
      </c>
    </row>
    <row r="389" spans="1:3" x14ac:dyDescent="0.3">
      <c r="A389" s="1">
        <v>20899</v>
      </c>
      <c r="B389" s="3" t="s">
        <v>994</v>
      </c>
      <c r="C389" s="4" t="s">
        <v>991</v>
      </c>
    </row>
    <row r="390" spans="1:3" x14ac:dyDescent="0.3">
      <c r="A390" s="1">
        <v>20758</v>
      </c>
      <c r="B390" s="1" t="s">
        <v>1335</v>
      </c>
      <c r="C390" s="2" t="s">
        <v>996</v>
      </c>
    </row>
    <row r="391" spans="1:3" x14ac:dyDescent="0.3">
      <c r="A391" s="1">
        <v>21672</v>
      </c>
      <c r="B391" s="3" t="s">
        <v>1336</v>
      </c>
      <c r="C391" s="4" t="s">
        <v>1097</v>
      </c>
    </row>
    <row r="392" spans="1:3" x14ac:dyDescent="0.3">
      <c r="A392" s="1">
        <v>20674</v>
      </c>
      <c r="B392" s="1" t="s">
        <v>1337</v>
      </c>
      <c r="C392" s="2" t="s">
        <v>1053</v>
      </c>
    </row>
    <row r="393" spans="1:3" x14ac:dyDescent="0.3">
      <c r="A393" s="1">
        <v>20611</v>
      </c>
      <c r="B393" s="3" t="s">
        <v>1338</v>
      </c>
      <c r="C393" s="4" t="s">
        <v>1070</v>
      </c>
    </row>
    <row r="394" spans="1:3" x14ac:dyDescent="0.3">
      <c r="A394" s="1">
        <v>21641</v>
      </c>
      <c r="B394" s="1" t="s">
        <v>1339</v>
      </c>
      <c r="C394" s="2" t="s">
        <v>1095</v>
      </c>
    </row>
    <row r="395" spans="1:3" x14ac:dyDescent="0.3">
      <c r="A395" s="1">
        <v>21814</v>
      </c>
      <c r="B395" s="3" t="s">
        <v>1340</v>
      </c>
      <c r="C395" s="4" t="s">
        <v>1021</v>
      </c>
    </row>
    <row r="396" spans="1:3" x14ac:dyDescent="0.3">
      <c r="A396" s="1">
        <v>21930</v>
      </c>
      <c r="B396" s="1" t="s">
        <v>1341</v>
      </c>
      <c r="C396" s="2" t="s">
        <v>1017</v>
      </c>
    </row>
    <row r="397" spans="1:3" x14ac:dyDescent="0.3">
      <c r="A397" s="1">
        <v>21669</v>
      </c>
      <c r="B397" s="3" t="s">
        <v>1342</v>
      </c>
      <c r="C397" s="4" t="s">
        <v>1097</v>
      </c>
    </row>
    <row r="398" spans="1:3" x14ac:dyDescent="0.3">
      <c r="A398" s="1">
        <v>20896</v>
      </c>
      <c r="B398" s="1" t="s">
        <v>1343</v>
      </c>
      <c r="C398" s="2" t="s">
        <v>991</v>
      </c>
    </row>
    <row r="399" spans="1:3" x14ac:dyDescent="0.3">
      <c r="A399" s="1">
        <v>21524</v>
      </c>
      <c r="B399" s="3" t="s">
        <v>1344</v>
      </c>
      <c r="C399" s="4" t="s">
        <v>1032</v>
      </c>
    </row>
    <row r="400" spans="1:3" x14ac:dyDescent="0.3">
      <c r="A400" s="1">
        <v>21077</v>
      </c>
      <c r="B400" s="1" t="s">
        <v>1345</v>
      </c>
      <c r="C400" s="2" t="s">
        <v>996</v>
      </c>
    </row>
    <row r="401" spans="1:3" x14ac:dyDescent="0.3">
      <c r="A401" s="1">
        <v>21540</v>
      </c>
      <c r="B401" s="3" t="s">
        <v>1346</v>
      </c>
      <c r="C401" s="4" t="s">
        <v>1032</v>
      </c>
    </row>
    <row r="402" spans="1:3" x14ac:dyDescent="0.3">
      <c r="A402" s="1">
        <v>21733</v>
      </c>
      <c r="B402" s="1" t="s">
        <v>1347</v>
      </c>
      <c r="C402" s="2" t="s">
        <v>999</v>
      </c>
    </row>
    <row r="403" spans="1:3" x14ac:dyDescent="0.3">
      <c r="A403" s="1">
        <v>21538</v>
      </c>
      <c r="B403" s="3" t="s">
        <v>1348</v>
      </c>
      <c r="C403" s="4" t="s">
        <v>1064</v>
      </c>
    </row>
    <row r="404" spans="1:3" x14ac:dyDescent="0.3">
      <c r="A404" s="1">
        <v>20617</v>
      </c>
      <c r="B404" s="1" t="s">
        <v>1349</v>
      </c>
      <c r="C404" s="2" t="s">
        <v>1070</v>
      </c>
    </row>
    <row r="405" spans="1:3" x14ac:dyDescent="0.3">
      <c r="A405" s="1">
        <v>20692</v>
      </c>
      <c r="B405" s="3" t="s">
        <v>1350</v>
      </c>
      <c r="C405" s="4" t="s">
        <v>1053</v>
      </c>
    </row>
    <row r="406" spans="1:3" x14ac:dyDescent="0.3">
      <c r="A406" s="1">
        <v>21624</v>
      </c>
      <c r="B406" s="1" t="s">
        <v>1351</v>
      </c>
      <c r="C406" s="2" t="s">
        <v>1057</v>
      </c>
    </row>
    <row r="407" spans="1:3" x14ac:dyDescent="0.3">
      <c r="A407" s="1">
        <v>21634</v>
      </c>
      <c r="B407" s="3" t="s">
        <v>1352</v>
      </c>
      <c r="C407" s="4" t="s">
        <v>1097</v>
      </c>
    </row>
    <row r="408" spans="1:3" x14ac:dyDescent="0.3">
      <c r="A408" s="1">
        <v>21779</v>
      </c>
      <c r="B408" s="1" t="s">
        <v>1353</v>
      </c>
      <c r="C408" s="2" t="s">
        <v>999</v>
      </c>
    </row>
    <row r="409" spans="1:3" x14ac:dyDescent="0.3">
      <c r="A409" s="1">
        <v>21705</v>
      </c>
      <c r="B409" s="3" t="s">
        <v>1027</v>
      </c>
      <c r="C409" s="4" t="s">
        <v>1027</v>
      </c>
    </row>
    <row r="410" spans="1:3" x14ac:dyDescent="0.3">
      <c r="A410" s="1">
        <v>20690</v>
      </c>
      <c r="B410" s="1" t="s">
        <v>1354</v>
      </c>
      <c r="C410" s="2" t="s">
        <v>1053</v>
      </c>
    </row>
    <row r="411" spans="1:3" x14ac:dyDescent="0.3">
      <c r="A411" s="1">
        <v>21647</v>
      </c>
      <c r="B411" s="3" t="s">
        <v>1355</v>
      </c>
      <c r="C411" s="4" t="s">
        <v>1057</v>
      </c>
    </row>
    <row r="412" spans="1:3" x14ac:dyDescent="0.3">
      <c r="A412" s="1">
        <v>20689</v>
      </c>
      <c r="B412" s="1" t="s">
        <v>1356</v>
      </c>
      <c r="C412" s="2" t="s">
        <v>1055</v>
      </c>
    </row>
    <row r="413" spans="1:3" x14ac:dyDescent="0.3">
      <c r="A413" s="1">
        <v>21523</v>
      </c>
      <c r="B413" s="3" t="s">
        <v>1357</v>
      </c>
      <c r="C413" s="4" t="s">
        <v>1064</v>
      </c>
    </row>
    <row r="414" spans="1:3" x14ac:dyDescent="0.3">
      <c r="A414" s="1">
        <v>21802</v>
      </c>
      <c r="B414" s="1" t="s">
        <v>1020</v>
      </c>
      <c r="C414" s="2" t="s">
        <v>1021</v>
      </c>
    </row>
    <row r="415" spans="1:3" x14ac:dyDescent="0.3">
      <c r="A415" s="1">
        <v>20618</v>
      </c>
      <c r="B415" s="3" t="s">
        <v>1358</v>
      </c>
      <c r="C415" s="4" t="s">
        <v>1053</v>
      </c>
    </row>
    <row r="416" spans="1:3" x14ac:dyDescent="0.3">
      <c r="A416" s="1">
        <v>20812</v>
      </c>
      <c r="B416" s="1" t="s">
        <v>1359</v>
      </c>
      <c r="C416" s="2" t="s">
        <v>991</v>
      </c>
    </row>
    <row r="417" spans="1:3" x14ac:dyDescent="0.3">
      <c r="A417" s="1">
        <v>20693</v>
      </c>
      <c r="B417" s="3" t="s">
        <v>1360</v>
      </c>
      <c r="C417" s="4" t="s">
        <v>1070</v>
      </c>
    </row>
    <row r="418" spans="1:3" x14ac:dyDescent="0.3">
      <c r="A418" s="1">
        <v>20880</v>
      </c>
      <c r="B418" s="1" t="s">
        <v>1361</v>
      </c>
      <c r="C418" s="2" t="s">
        <v>991</v>
      </c>
    </row>
    <row r="419" spans="1:3" x14ac:dyDescent="0.3">
      <c r="A419" s="1">
        <v>21677</v>
      </c>
      <c r="B419" s="3" t="s">
        <v>1362</v>
      </c>
      <c r="C419" s="4" t="s">
        <v>1097</v>
      </c>
    </row>
    <row r="420" spans="1:3" x14ac:dyDescent="0.3">
      <c r="A420" s="1">
        <v>21718</v>
      </c>
      <c r="B420" s="1" t="s">
        <v>1363</v>
      </c>
      <c r="C420" s="2" t="s">
        <v>1027</v>
      </c>
    </row>
    <row r="421" spans="1:3" x14ac:dyDescent="0.3">
      <c r="A421" s="1">
        <v>21156</v>
      </c>
      <c r="B421" s="3" t="s">
        <v>1364</v>
      </c>
      <c r="C421" s="4" t="s">
        <v>992</v>
      </c>
    </row>
    <row r="422" spans="1:3" x14ac:dyDescent="0.3">
      <c r="A422" s="1">
        <v>21626</v>
      </c>
      <c r="B422" s="1" t="s">
        <v>1365</v>
      </c>
      <c r="C422" s="2" t="s">
        <v>1097</v>
      </c>
    </row>
    <row r="423" spans="1:3" x14ac:dyDescent="0.3">
      <c r="A423" s="1">
        <v>21902</v>
      </c>
      <c r="B423" s="3" t="s">
        <v>1366</v>
      </c>
      <c r="C423" s="4" t="s">
        <v>1017</v>
      </c>
    </row>
    <row r="424" spans="1:3" x14ac:dyDescent="0.3">
      <c r="A424" s="1">
        <v>20839</v>
      </c>
      <c r="B424" s="1" t="s">
        <v>1367</v>
      </c>
      <c r="C424" s="2" t="s">
        <v>991</v>
      </c>
    </row>
    <row r="425" spans="1:3" x14ac:dyDescent="0.3">
      <c r="A425" s="1">
        <v>21005</v>
      </c>
      <c r="B425" s="3" t="s">
        <v>1368</v>
      </c>
      <c r="C425" s="4" t="s">
        <v>1045</v>
      </c>
    </row>
    <row r="426" spans="1:3" x14ac:dyDescent="0.3">
      <c r="A426" s="1">
        <v>20838</v>
      </c>
      <c r="B426" s="1" t="s">
        <v>1369</v>
      </c>
      <c r="C426" s="2" t="s">
        <v>991</v>
      </c>
    </row>
    <row r="427" spans="1:3" x14ac:dyDescent="0.3">
      <c r="A427" s="1">
        <v>21653</v>
      </c>
      <c r="B427" s="3" t="s">
        <v>1370</v>
      </c>
      <c r="C427" s="4" t="s">
        <v>1057</v>
      </c>
    </row>
    <row r="428" spans="1:3" x14ac:dyDescent="0.3">
      <c r="A428" s="1">
        <v>20628</v>
      </c>
      <c r="B428" s="1" t="s">
        <v>1371</v>
      </c>
      <c r="C428" s="2" t="s">
        <v>1053</v>
      </c>
    </row>
    <row r="429" spans="1:3" x14ac:dyDescent="0.3">
      <c r="A429" s="1">
        <v>20630</v>
      </c>
      <c r="B429" s="3" t="s">
        <v>1372</v>
      </c>
      <c r="C429" s="4" t="s">
        <v>1053</v>
      </c>
    </row>
    <row r="430" spans="1:3" x14ac:dyDescent="0.3">
      <c r="A430" s="1">
        <v>20632</v>
      </c>
      <c r="B430" s="1" t="s">
        <v>1373</v>
      </c>
      <c r="C430" s="2" t="s">
        <v>1070</v>
      </c>
    </row>
    <row r="431" spans="1:3" x14ac:dyDescent="0.3">
      <c r="A431" s="1">
        <v>20660</v>
      </c>
      <c r="B431" s="3" t="s">
        <v>1374</v>
      </c>
      <c r="C431" s="4" t="s">
        <v>1053</v>
      </c>
    </row>
    <row r="432" spans="1:3" x14ac:dyDescent="0.3">
      <c r="A432" s="1">
        <v>20667</v>
      </c>
      <c r="B432" s="1" t="s">
        <v>1375</v>
      </c>
      <c r="C432" s="2" t="s">
        <v>1053</v>
      </c>
    </row>
    <row r="433" spans="1:3" x14ac:dyDescent="0.3">
      <c r="A433" s="1">
        <v>20670</v>
      </c>
      <c r="B433" s="3" t="s">
        <v>1376</v>
      </c>
      <c r="C433" s="4" t="s">
        <v>1053</v>
      </c>
    </row>
    <row r="434" spans="1:3" x14ac:dyDescent="0.3">
      <c r="A434" s="1">
        <v>20686</v>
      </c>
      <c r="B434" s="1" t="s">
        <v>1377</v>
      </c>
      <c r="C434" s="2" t="s">
        <v>1053</v>
      </c>
    </row>
    <row r="435" spans="1:3" x14ac:dyDescent="0.3">
      <c r="A435" s="1">
        <v>20687</v>
      </c>
      <c r="B435" s="3" t="s">
        <v>1378</v>
      </c>
      <c r="C435" s="4" t="s">
        <v>1053</v>
      </c>
    </row>
    <row r="436" spans="1:3" x14ac:dyDescent="0.3">
      <c r="A436" s="1">
        <v>20701</v>
      </c>
      <c r="B436" s="1" t="s">
        <v>1379</v>
      </c>
      <c r="C436" s="2" t="s">
        <v>1038</v>
      </c>
    </row>
    <row r="437" spans="1:3" x14ac:dyDescent="0.3">
      <c r="A437" s="1">
        <v>20742</v>
      </c>
      <c r="B437" s="3" t="s">
        <v>1034</v>
      </c>
      <c r="C437" s="4" t="s">
        <v>989</v>
      </c>
    </row>
    <row r="438" spans="1:3" x14ac:dyDescent="0.3">
      <c r="A438" s="1">
        <v>20862</v>
      </c>
      <c r="B438" s="1" t="s">
        <v>1380</v>
      </c>
      <c r="C438" s="2" t="s">
        <v>991</v>
      </c>
    </row>
    <row r="439" spans="1:3" x14ac:dyDescent="0.3">
      <c r="A439" s="1">
        <v>21010</v>
      </c>
      <c r="B439" s="3" t="s">
        <v>1381</v>
      </c>
      <c r="C439" s="4" t="s">
        <v>1045</v>
      </c>
    </row>
    <row r="440" spans="1:3" x14ac:dyDescent="0.3">
      <c r="A440" s="1">
        <v>21031</v>
      </c>
      <c r="B440" s="1" t="s">
        <v>1382</v>
      </c>
      <c r="C440" s="2" t="s">
        <v>992</v>
      </c>
    </row>
    <row r="441" spans="1:3" x14ac:dyDescent="0.3">
      <c r="A441" s="1">
        <v>21051</v>
      </c>
      <c r="B441" s="3" t="s">
        <v>1383</v>
      </c>
      <c r="C441" s="4" t="s">
        <v>992</v>
      </c>
    </row>
    <row r="442" spans="1:3" x14ac:dyDescent="0.3">
      <c r="A442" s="1">
        <v>21056</v>
      </c>
      <c r="B442" s="1" t="s">
        <v>1384</v>
      </c>
      <c r="C442" s="2" t="s">
        <v>996</v>
      </c>
    </row>
    <row r="443" spans="1:3" x14ac:dyDescent="0.3">
      <c r="A443" s="1">
        <v>21071</v>
      </c>
      <c r="B443" s="3" t="s">
        <v>1385</v>
      </c>
      <c r="C443" s="4" t="s">
        <v>992</v>
      </c>
    </row>
    <row r="444" spans="1:3" x14ac:dyDescent="0.3">
      <c r="A444" s="1">
        <v>21082</v>
      </c>
      <c r="B444" s="1" t="s">
        <v>1386</v>
      </c>
      <c r="C444" s="2" t="s">
        <v>992</v>
      </c>
    </row>
    <row r="445" spans="1:3" x14ac:dyDescent="0.3">
      <c r="A445" s="1">
        <v>21105</v>
      </c>
      <c r="B445" s="3" t="s">
        <v>1387</v>
      </c>
      <c r="C445" s="4" t="s">
        <v>992</v>
      </c>
    </row>
    <row r="446" spans="1:3" x14ac:dyDescent="0.3">
      <c r="A446" s="1">
        <v>21240</v>
      </c>
      <c r="B446" s="1" t="s">
        <v>992</v>
      </c>
      <c r="C446" s="2" t="s">
        <v>996</v>
      </c>
    </row>
    <row r="447" spans="1:3" x14ac:dyDescent="0.3">
      <c r="A447" s="1">
        <v>21250</v>
      </c>
      <c r="B447" s="3" t="s">
        <v>992</v>
      </c>
      <c r="C447" s="4" t="s">
        <v>992</v>
      </c>
    </row>
    <row r="448" spans="1:3" x14ac:dyDescent="0.3">
      <c r="A448" s="1">
        <v>21251</v>
      </c>
      <c r="B448" s="1" t="s">
        <v>992</v>
      </c>
      <c r="C448" s="2" t="s">
        <v>993</v>
      </c>
    </row>
    <row r="449" spans="1:3" x14ac:dyDescent="0.3">
      <c r="A449" s="1">
        <v>21252</v>
      </c>
      <c r="B449" s="3" t="s">
        <v>992</v>
      </c>
      <c r="C449" s="4" t="s">
        <v>992</v>
      </c>
    </row>
    <row r="450" spans="1:3" x14ac:dyDescent="0.3">
      <c r="A450" s="1">
        <v>21405</v>
      </c>
      <c r="B450" s="1" t="s">
        <v>1042</v>
      </c>
      <c r="C450" s="2" t="s">
        <v>996</v>
      </c>
    </row>
    <row r="451" spans="1:3" x14ac:dyDescent="0.3">
      <c r="A451" s="1">
        <v>21543</v>
      </c>
      <c r="B451" s="3" t="s">
        <v>1388</v>
      </c>
      <c r="C451" s="4" t="s">
        <v>1032</v>
      </c>
    </row>
    <row r="452" spans="1:3" x14ac:dyDescent="0.3">
      <c r="A452" s="1">
        <v>21627</v>
      </c>
      <c r="B452" s="1" t="s">
        <v>1389</v>
      </c>
      <c r="C452" s="2" t="s">
        <v>1097</v>
      </c>
    </row>
    <row r="453" spans="1:3" x14ac:dyDescent="0.3">
      <c r="A453" s="1">
        <v>21644</v>
      </c>
      <c r="B453" s="3" t="s">
        <v>1390</v>
      </c>
      <c r="C453" s="4" t="s">
        <v>1141</v>
      </c>
    </row>
    <row r="454" spans="1:3" x14ac:dyDescent="0.3">
      <c r="A454" s="1">
        <v>21650</v>
      </c>
      <c r="B454" s="1" t="s">
        <v>1391</v>
      </c>
      <c r="C454" s="2" t="s">
        <v>1131</v>
      </c>
    </row>
    <row r="455" spans="1:3" x14ac:dyDescent="0.3">
      <c r="A455" s="1">
        <v>21652</v>
      </c>
      <c r="B455" s="3" t="s">
        <v>1392</v>
      </c>
      <c r="C455" s="4" t="s">
        <v>1057</v>
      </c>
    </row>
    <row r="456" spans="1:3" x14ac:dyDescent="0.3">
      <c r="A456" s="1">
        <v>21667</v>
      </c>
      <c r="B456" s="1" t="s">
        <v>1393</v>
      </c>
      <c r="C456" s="2" t="s">
        <v>1131</v>
      </c>
    </row>
    <row r="457" spans="1:3" x14ac:dyDescent="0.3">
      <c r="A457" s="1">
        <v>21675</v>
      </c>
      <c r="B457" s="3" t="s">
        <v>1394</v>
      </c>
      <c r="C457" s="4" t="s">
        <v>1097</v>
      </c>
    </row>
    <row r="458" spans="1:3" x14ac:dyDescent="0.3">
      <c r="A458" s="1">
        <v>21679</v>
      </c>
      <c r="B458" s="1" t="s">
        <v>1395</v>
      </c>
      <c r="C458" s="2" t="s">
        <v>1057</v>
      </c>
    </row>
    <row r="459" spans="1:3" x14ac:dyDescent="0.3">
      <c r="A459" s="1">
        <v>21714</v>
      </c>
      <c r="B459" s="3" t="s">
        <v>1396</v>
      </c>
      <c r="C459" s="4" t="s">
        <v>1027</v>
      </c>
    </row>
    <row r="460" spans="1:3" x14ac:dyDescent="0.3">
      <c r="A460" s="1">
        <v>21717</v>
      </c>
      <c r="B460" s="1" t="s">
        <v>1397</v>
      </c>
      <c r="C460" s="2" t="s">
        <v>1027</v>
      </c>
    </row>
    <row r="461" spans="1:3" x14ac:dyDescent="0.3">
      <c r="A461" s="1">
        <v>21746</v>
      </c>
      <c r="B461" s="3" t="s">
        <v>998</v>
      </c>
      <c r="C461" s="4" t="s">
        <v>999</v>
      </c>
    </row>
    <row r="462" spans="1:3" x14ac:dyDescent="0.3">
      <c r="A462" s="1">
        <v>21762</v>
      </c>
      <c r="B462" s="1" t="s">
        <v>1398</v>
      </c>
      <c r="C462" s="2" t="s">
        <v>1027</v>
      </c>
    </row>
    <row r="463" spans="1:3" x14ac:dyDescent="0.3">
      <c r="A463" s="1">
        <v>21781</v>
      </c>
      <c r="B463" s="3" t="s">
        <v>1399</v>
      </c>
      <c r="C463" s="4" t="s">
        <v>999</v>
      </c>
    </row>
    <row r="464" spans="1:3" x14ac:dyDescent="0.3">
      <c r="A464" s="1">
        <v>21790</v>
      </c>
      <c r="B464" s="1" t="s">
        <v>1400</v>
      </c>
      <c r="C464" s="2" t="s">
        <v>1027</v>
      </c>
    </row>
    <row r="465" spans="1:3" x14ac:dyDescent="0.3">
      <c r="A465" s="1">
        <v>21840</v>
      </c>
      <c r="B465" s="3" t="s">
        <v>1401</v>
      </c>
      <c r="C465" s="4" t="s">
        <v>1021</v>
      </c>
    </row>
    <row r="466" spans="1:3" x14ac:dyDescent="0.3">
      <c r="A466" s="1">
        <v>21866</v>
      </c>
      <c r="B466" s="1" t="s">
        <v>1402</v>
      </c>
      <c r="C466" s="2" t="s">
        <v>1108</v>
      </c>
    </row>
    <row r="467" spans="1:3" x14ac:dyDescent="0.3">
      <c r="A467" s="1">
        <v>21867</v>
      </c>
      <c r="B467" s="3" t="s">
        <v>1403</v>
      </c>
      <c r="C467" s="4" t="s">
        <v>1108</v>
      </c>
    </row>
    <row r="468" spans="1:3" x14ac:dyDescent="0.3">
      <c r="A468" s="1">
        <v>21890</v>
      </c>
      <c r="B468" s="1" t="s">
        <v>1191</v>
      </c>
      <c r="C468" s="2" t="s">
        <v>1108</v>
      </c>
    </row>
    <row r="469" spans="1:3" x14ac:dyDescent="0.3">
      <c r="A469" s="8">
        <v>21916</v>
      </c>
      <c r="B469" s="9" t="s">
        <v>1404</v>
      </c>
      <c r="C469" s="10" t="s">
        <v>1017</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Charts</vt:lpstr>
      </vt:variant>
      <vt:variant>
        <vt:i4>2</vt:i4>
      </vt:variant>
    </vt:vector>
  </HeadingPairs>
  <TitlesOfParts>
    <vt:vector size="15" baseType="lpstr">
      <vt:lpstr>StartPage</vt:lpstr>
      <vt:lpstr>CompareMapCalcs</vt:lpstr>
      <vt:lpstr>StatewideTotals</vt:lpstr>
      <vt:lpstr>UninsuredAnalysis</vt:lpstr>
      <vt:lpstr>MostNeed LT19 &amp; 19-64</vt:lpstr>
      <vt:lpstr>MostNeed CountyAgg</vt:lpstr>
      <vt:lpstr>PivotTables</vt:lpstr>
      <vt:lpstr>IRSData</vt:lpstr>
      <vt:lpstr>Citizenship</vt:lpstr>
      <vt:lpstr>ModifiedBaseTable</vt:lpstr>
      <vt:lpstr>RemovedUninsured</vt:lpstr>
      <vt:lpstr>RemovedUninsMostNeed</vt:lpstr>
      <vt:lpstr>ZipToCnty</vt:lpstr>
      <vt:lpstr>PivotChart</vt:lpstr>
      <vt:lpstr>TotalsPivotChart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Elizabeth Leo</dc:creator>
  <cp:lastModifiedBy>Elizabeth Leo</cp:lastModifiedBy>
  <dcterms:created xsi:type="dcterms:W3CDTF">2019-01-10T18:48:48Z</dcterms:created>
  <dcterms:modified xsi:type="dcterms:W3CDTF">2019-10-10T14:41:52Z</dcterms:modified>
</cp:coreProperties>
</file>